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Karam\Documents\Writings\Blog postings\NTA blog\"/>
    </mc:Choice>
  </mc:AlternateContent>
  <bookViews>
    <workbookView xWindow="5985" yWindow="-15" windowWidth="6030" windowHeight="3495" tabRatio="598"/>
  </bookViews>
  <sheets>
    <sheet name="Specific activity" sheetId="1" r:id="rId1"/>
    <sheet name="Convert to SI" sheetId="3" r:id="rId2"/>
    <sheet name="Convert from SI" sheetId="4" r:id="rId3"/>
    <sheet name="misc conversions" sheetId="5" r:id="rId4"/>
    <sheet name="Nuclides" sheetId="6" r:id="rId5"/>
  </sheets>
  <definedNames>
    <definedName name="table1">'Specific activity'!$J$4:$J$2654</definedName>
  </definedNames>
  <calcPr calcId="152511"/>
</workbook>
</file>

<file path=xl/calcChain.xml><?xml version="1.0" encoding="utf-8"?>
<calcChain xmlns="http://schemas.openxmlformats.org/spreadsheetml/2006/main">
  <c r="P33" i="1" l="1"/>
  <c r="C19" i="5"/>
  <c r="E18" i="5"/>
  <c r="E15" i="5"/>
  <c r="C9" i="5"/>
  <c r="C8" i="5"/>
  <c r="T12" i="1"/>
  <c r="N12" i="1" s="1"/>
  <c r="T11" i="1"/>
  <c r="N11" i="1" s="1"/>
  <c r="T13" i="1"/>
  <c r="T14" i="1"/>
  <c r="T15" i="1"/>
  <c r="T16" i="1"/>
  <c r="T17" i="1"/>
  <c r="T18" i="1"/>
  <c r="T19" i="1"/>
  <c r="T20" i="1"/>
  <c r="T21" i="1"/>
  <c r="T22" i="1"/>
  <c r="T23" i="1"/>
  <c r="Q11" i="1"/>
  <c r="Q12" i="1"/>
  <c r="N13" i="1"/>
  <c r="O13" i="1"/>
  <c r="Q13" i="1"/>
  <c r="R13" i="1"/>
  <c r="S13" i="1"/>
  <c r="N14" i="1"/>
  <c r="O14" i="1"/>
  <c r="Q14" i="1"/>
  <c r="R14" i="1"/>
  <c r="S14" i="1"/>
  <c r="N15" i="1"/>
  <c r="O15" i="1"/>
  <c r="Q15" i="1"/>
  <c r="R15" i="1"/>
  <c r="S15" i="1"/>
  <c r="N16" i="1"/>
  <c r="O16" i="1"/>
  <c r="Q16" i="1"/>
  <c r="R16" i="1"/>
  <c r="S16" i="1"/>
  <c r="N17" i="1"/>
  <c r="O17" i="1"/>
  <c r="Q17" i="1"/>
  <c r="R17" i="1"/>
  <c r="S17" i="1"/>
  <c r="N18" i="1"/>
  <c r="O18" i="1"/>
  <c r="Q18" i="1"/>
  <c r="R18" i="1"/>
  <c r="S18" i="1"/>
  <c r="N19" i="1"/>
  <c r="O19" i="1"/>
  <c r="Q19" i="1"/>
  <c r="R19" i="1"/>
  <c r="S19" i="1"/>
  <c r="N20" i="1"/>
  <c r="O20" i="1"/>
  <c r="Q20" i="1"/>
  <c r="R20" i="1"/>
  <c r="S20" i="1"/>
  <c r="N21" i="1"/>
  <c r="O21" i="1"/>
  <c r="Q21" i="1"/>
  <c r="R21" i="1"/>
  <c r="S21" i="1"/>
  <c r="N22" i="1"/>
  <c r="O22" i="1"/>
  <c r="Q22" i="1"/>
  <c r="R22" i="1"/>
  <c r="S22" i="1"/>
  <c r="N23" i="1"/>
  <c r="O23" i="1"/>
  <c r="Q23" i="1"/>
  <c r="R23" i="1"/>
  <c r="S23" i="1"/>
  <c r="K24" i="1"/>
  <c r="L24" i="1"/>
  <c r="M24" i="1"/>
  <c r="L26" i="1"/>
  <c r="Q32" i="1"/>
  <c r="Q33" i="1" s="1"/>
  <c r="D39" i="4"/>
  <c r="C45" i="4"/>
  <c r="C44" i="4"/>
  <c r="C43" i="4"/>
  <c r="C42" i="4"/>
  <c r="C41" i="4"/>
  <c r="C40" i="4"/>
  <c r="C39" i="4"/>
  <c r="E44" i="4"/>
  <c r="E43" i="4"/>
  <c r="E42" i="4"/>
  <c r="E41" i="4"/>
  <c r="E40" i="4"/>
  <c r="E39" i="4"/>
  <c r="E45" i="4"/>
  <c r="D40" i="4"/>
  <c r="D41" i="4"/>
  <c r="D42" i="4"/>
  <c r="D43" i="4"/>
  <c r="D44" i="4"/>
  <c r="D45" i="4"/>
  <c r="H30" i="4"/>
  <c r="G30" i="4"/>
  <c r="F30" i="4"/>
  <c r="E30" i="4"/>
  <c r="D30" i="4"/>
  <c r="C30" i="4"/>
  <c r="C46" i="4"/>
  <c r="C47" i="4"/>
  <c r="E47" i="4"/>
  <c r="E46" i="4"/>
  <c r="D46" i="4"/>
  <c r="D47" i="4"/>
  <c r="I43" i="4"/>
  <c r="I42" i="4"/>
  <c r="I41" i="4"/>
  <c r="I40" i="4"/>
  <c r="I39" i="4"/>
  <c r="E53" i="4"/>
  <c r="E52" i="4"/>
  <c r="E51" i="4"/>
  <c r="E50" i="4"/>
  <c r="E49" i="4"/>
  <c r="E48" i="4"/>
  <c r="D48" i="4"/>
  <c r="C53" i="4"/>
  <c r="C52" i="4"/>
  <c r="C51" i="4"/>
  <c r="C50" i="4"/>
  <c r="C49" i="4"/>
  <c r="C48" i="4"/>
  <c r="D53" i="4"/>
  <c r="D52" i="4"/>
  <c r="D51" i="4"/>
  <c r="D50" i="4"/>
  <c r="D49" i="4"/>
  <c r="H35" i="4"/>
  <c r="G35" i="4"/>
  <c r="C31" i="4"/>
  <c r="C32" i="4"/>
  <c r="C33" i="4"/>
  <c r="C34" i="4"/>
  <c r="C35" i="4"/>
  <c r="D35" i="4"/>
  <c r="D34" i="4"/>
  <c r="D33" i="4"/>
  <c r="D32" i="4"/>
  <c r="D31" i="4"/>
  <c r="H31" i="4"/>
  <c r="H32" i="4"/>
  <c r="H33" i="4"/>
  <c r="H34" i="4"/>
  <c r="G31" i="4"/>
  <c r="G32" i="4"/>
  <c r="G33" i="4"/>
  <c r="G34" i="4"/>
  <c r="F35" i="4"/>
  <c r="F34" i="4"/>
  <c r="F33" i="4"/>
  <c r="F32" i="4"/>
  <c r="F31" i="4"/>
  <c r="E32" i="4"/>
  <c r="E31" i="4"/>
  <c r="E35" i="4"/>
  <c r="E34" i="4"/>
  <c r="E33" i="4"/>
  <c r="C26" i="4"/>
  <c r="C25" i="4"/>
  <c r="C24" i="4"/>
  <c r="C23" i="4"/>
  <c r="C22" i="4"/>
  <c r="C21" i="4"/>
  <c r="C20" i="4"/>
  <c r="D22" i="4"/>
  <c r="D26" i="4"/>
  <c r="D25" i="4"/>
  <c r="D24" i="4"/>
  <c r="D23" i="4"/>
  <c r="D21" i="4"/>
  <c r="D20" i="4"/>
  <c r="E22" i="4"/>
  <c r="E23" i="4"/>
  <c r="E24" i="4"/>
  <c r="E20" i="4"/>
  <c r="E21" i="4"/>
  <c r="E25" i="4"/>
  <c r="E26" i="4"/>
  <c r="H23" i="4"/>
  <c r="H24" i="4"/>
  <c r="H25" i="4"/>
  <c r="H26" i="4"/>
  <c r="H22" i="4"/>
  <c r="H21" i="4"/>
  <c r="H20" i="4"/>
  <c r="G26" i="4"/>
  <c r="G25" i="4"/>
  <c r="G24" i="4"/>
  <c r="G23" i="4"/>
  <c r="G22" i="4"/>
  <c r="G21" i="4"/>
  <c r="G20" i="4"/>
  <c r="F26" i="4"/>
  <c r="F25" i="4"/>
  <c r="F24" i="4"/>
  <c r="F23" i="4"/>
  <c r="F22" i="4"/>
  <c r="F21" i="4"/>
  <c r="F20" i="4"/>
  <c r="C8" i="4"/>
  <c r="C15" i="4"/>
  <c r="C14" i="4"/>
  <c r="C13" i="4"/>
  <c r="C12" i="4"/>
  <c r="C11" i="4"/>
  <c r="C10" i="4"/>
  <c r="C9" i="4"/>
  <c r="C7" i="4"/>
  <c r="C6" i="4"/>
  <c r="D14" i="4"/>
  <c r="D15" i="4"/>
  <c r="D13" i="4"/>
  <c r="D12" i="4"/>
  <c r="D11" i="4"/>
  <c r="D10" i="4"/>
  <c r="D9" i="4"/>
  <c r="D8" i="4"/>
  <c r="D7" i="4"/>
  <c r="D6" i="4"/>
  <c r="E15" i="4"/>
  <c r="E14" i="4"/>
  <c r="E13" i="4"/>
  <c r="E12" i="4"/>
  <c r="E11" i="4"/>
  <c r="E10" i="4"/>
  <c r="E9" i="4"/>
  <c r="E8" i="4"/>
  <c r="E7" i="4"/>
  <c r="E6" i="4"/>
  <c r="I15" i="4"/>
  <c r="I14" i="4"/>
  <c r="I13" i="4"/>
  <c r="I9" i="4"/>
  <c r="I8" i="4"/>
  <c r="I7" i="4"/>
  <c r="I6" i="4"/>
  <c r="H9" i="4"/>
  <c r="H8" i="4"/>
  <c r="H7" i="4"/>
  <c r="H6" i="4"/>
  <c r="H15" i="4"/>
  <c r="H14" i="4"/>
  <c r="H13" i="4"/>
  <c r="G7" i="4"/>
  <c r="G6" i="4"/>
  <c r="G8" i="4"/>
  <c r="G9" i="4"/>
  <c r="G15" i="4"/>
  <c r="G14" i="4"/>
  <c r="G13" i="4"/>
  <c r="F6" i="4"/>
  <c r="F7" i="4"/>
  <c r="F8" i="4"/>
  <c r="F9" i="4"/>
  <c r="F15" i="4"/>
  <c r="F13" i="4"/>
  <c r="F14" i="4"/>
  <c r="I12" i="4"/>
  <c r="I11" i="4"/>
  <c r="H12" i="4"/>
  <c r="H11" i="4"/>
  <c r="G12" i="4"/>
  <c r="G11" i="4"/>
  <c r="F12" i="4"/>
  <c r="F11" i="4"/>
  <c r="I10" i="4"/>
  <c r="H10" i="4"/>
  <c r="G10" i="4"/>
  <c r="F10" i="4"/>
  <c r="C71" i="4"/>
  <c r="C70" i="4"/>
  <c r="C69" i="4"/>
  <c r="C68" i="4"/>
  <c r="C67" i="4"/>
  <c r="G71" i="4"/>
  <c r="G70" i="4"/>
  <c r="G69" i="4"/>
  <c r="G68" i="4"/>
  <c r="G67" i="4"/>
  <c r="F71" i="4"/>
  <c r="F70" i="4"/>
  <c r="F69" i="4"/>
  <c r="F68" i="4"/>
  <c r="F67" i="4"/>
  <c r="D71" i="4"/>
  <c r="D70" i="4"/>
  <c r="D69" i="4"/>
  <c r="D68" i="4"/>
  <c r="D67" i="4"/>
  <c r="E71" i="4"/>
  <c r="E70" i="4"/>
  <c r="E69" i="4"/>
  <c r="E68" i="4"/>
  <c r="E67" i="4"/>
  <c r="I178" i="4"/>
  <c r="H178" i="4"/>
  <c r="G178" i="4"/>
  <c r="F178" i="4"/>
  <c r="E178" i="4"/>
  <c r="D178" i="4"/>
  <c r="C178" i="4"/>
  <c r="J177" i="4"/>
  <c r="I177" i="4"/>
  <c r="C177" i="4"/>
  <c r="H177" i="4"/>
  <c r="G177" i="4"/>
  <c r="F177" i="4"/>
  <c r="E177" i="4"/>
  <c r="D177" i="4"/>
  <c r="I176" i="4"/>
  <c r="H176" i="4"/>
  <c r="G176" i="4"/>
  <c r="F176" i="4"/>
  <c r="E176" i="4"/>
  <c r="D176" i="4"/>
  <c r="C176" i="4"/>
  <c r="J175" i="4"/>
  <c r="E175" i="4"/>
  <c r="D175" i="4"/>
  <c r="C175" i="4"/>
  <c r="F171" i="4"/>
  <c r="E171" i="4"/>
  <c r="D171" i="4"/>
  <c r="C171" i="4"/>
  <c r="F170" i="4"/>
  <c r="E170" i="4"/>
  <c r="D170" i="4"/>
  <c r="C170" i="4"/>
  <c r="F169" i="4"/>
  <c r="E169" i="4"/>
  <c r="D169" i="4"/>
  <c r="C169" i="4"/>
  <c r="F168" i="4"/>
  <c r="E168" i="4"/>
  <c r="D168" i="4"/>
  <c r="C168" i="4"/>
  <c r="F167" i="4"/>
  <c r="E167" i="4"/>
  <c r="D167" i="4"/>
  <c r="C167" i="4"/>
  <c r="F162" i="4"/>
  <c r="E162" i="4"/>
  <c r="D162" i="4"/>
  <c r="F161" i="4"/>
  <c r="F160" i="4"/>
  <c r="E160" i="4"/>
  <c r="D160" i="4"/>
  <c r="F159" i="4"/>
  <c r="E159" i="4"/>
  <c r="D159" i="4"/>
  <c r="E158" i="4"/>
  <c r="D158" i="4"/>
  <c r="C158" i="4"/>
  <c r="E153" i="4"/>
  <c r="D153" i="4"/>
  <c r="C153" i="4"/>
  <c r="E152" i="4"/>
  <c r="D152" i="4"/>
  <c r="C152" i="4"/>
  <c r="D151" i="4"/>
  <c r="C151" i="4"/>
  <c r="D150" i="4"/>
  <c r="C150" i="4"/>
  <c r="F145" i="4"/>
  <c r="E145" i="4"/>
  <c r="F144" i="4"/>
  <c r="E144" i="4"/>
  <c r="D144" i="4"/>
  <c r="E143" i="4"/>
  <c r="D143" i="4"/>
  <c r="C143" i="4"/>
  <c r="E142" i="4"/>
  <c r="D142" i="4"/>
  <c r="C142" i="4"/>
  <c r="D141" i="4"/>
  <c r="C141" i="4"/>
  <c r="J137" i="4"/>
  <c r="I137" i="4"/>
  <c r="H137" i="4"/>
  <c r="G137" i="4"/>
  <c r="F137" i="4"/>
  <c r="E137" i="4"/>
  <c r="D137" i="4"/>
  <c r="C137" i="4"/>
  <c r="J136" i="4"/>
  <c r="I136" i="4"/>
  <c r="H136" i="4"/>
  <c r="G136" i="4"/>
  <c r="F136" i="4"/>
  <c r="E136" i="4"/>
  <c r="D136" i="4"/>
  <c r="C136" i="4"/>
  <c r="J135" i="4"/>
  <c r="I135" i="4"/>
  <c r="H135" i="4"/>
  <c r="G135" i="4"/>
  <c r="F135" i="4"/>
  <c r="E135" i="4"/>
  <c r="D135" i="4"/>
  <c r="C135" i="4"/>
  <c r="I130" i="4"/>
  <c r="H130" i="4"/>
  <c r="G130" i="4"/>
  <c r="F130" i="4"/>
  <c r="E130" i="4"/>
  <c r="D130" i="4"/>
  <c r="C130" i="4"/>
  <c r="I129" i="4"/>
  <c r="H129" i="4"/>
  <c r="G129" i="4"/>
  <c r="F129" i="4"/>
  <c r="E129" i="4"/>
  <c r="D129" i="4"/>
  <c r="C129" i="4"/>
  <c r="I128" i="4"/>
  <c r="H128" i="4"/>
  <c r="G128" i="4"/>
  <c r="F128" i="4"/>
  <c r="E128" i="4"/>
  <c r="D128" i="4"/>
  <c r="C128" i="4"/>
  <c r="I127" i="4"/>
  <c r="H127" i="4"/>
  <c r="G127" i="4"/>
  <c r="F127" i="4"/>
  <c r="E127" i="4"/>
  <c r="D127" i="4"/>
  <c r="C127" i="4"/>
  <c r="L122" i="4"/>
  <c r="K122" i="4"/>
  <c r="J122" i="4"/>
  <c r="I122" i="4"/>
  <c r="H122" i="4"/>
  <c r="G122" i="4"/>
  <c r="F122" i="4"/>
  <c r="E122" i="4"/>
  <c r="D122" i="4"/>
  <c r="C122" i="4"/>
  <c r="L121" i="4"/>
  <c r="K121" i="4"/>
  <c r="J121" i="4"/>
  <c r="I121" i="4"/>
  <c r="H121" i="4"/>
  <c r="G121" i="4"/>
  <c r="F121" i="4"/>
  <c r="E121" i="4"/>
  <c r="D121" i="4"/>
  <c r="C121" i="4"/>
  <c r="L120" i="4"/>
  <c r="K120" i="4"/>
  <c r="J120" i="4"/>
  <c r="I120" i="4"/>
  <c r="H120" i="4"/>
  <c r="G120" i="4"/>
  <c r="F120" i="4"/>
  <c r="E120" i="4"/>
  <c r="D120" i="4"/>
  <c r="C120" i="4"/>
  <c r="L119" i="4"/>
  <c r="K119" i="4"/>
  <c r="J119" i="4"/>
  <c r="I119" i="4"/>
  <c r="H119" i="4"/>
  <c r="G119" i="4"/>
  <c r="F119" i="4"/>
  <c r="E119" i="4"/>
  <c r="D119" i="4"/>
  <c r="C119" i="4"/>
  <c r="I114" i="4"/>
  <c r="H114" i="4"/>
  <c r="G114" i="4"/>
  <c r="F114" i="4"/>
  <c r="E114" i="4"/>
  <c r="D114" i="4"/>
  <c r="C114" i="4"/>
  <c r="I113" i="4"/>
  <c r="H113" i="4"/>
  <c r="G113" i="4"/>
  <c r="F113" i="4"/>
  <c r="E113" i="4"/>
  <c r="D113" i="4"/>
  <c r="C113" i="4"/>
  <c r="I112" i="4"/>
  <c r="H112" i="4"/>
  <c r="G112" i="4"/>
  <c r="F112" i="4"/>
  <c r="E112" i="4"/>
  <c r="D112" i="4"/>
  <c r="C112" i="4"/>
  <c r="I107" i="4"/>
  <c r="H107" i="4"/>
  <c r="G107" i="4"/>
  <c r="F107" i="4"/>
  <c r="E107" i="4"/>
  <c r="D107" i="4"/>
  <c r="C107" i="4"/>
  <c r="I106" i="4"/>
  <c r="H106" i="4"/>
  <c r="G106" i="4"/>
  <c r="F106" i="4"/>
  <c r="E106" i="4"/>
  <c r="D106" i="4"/>
  <c r="C106" i="4"/>
  <c r="I105" i="4"/>
  <c r="H105" i="4"/>
  <c r="G105" i="4"/>
  <c r="F105" i="4"/>
  <c r="E105" i="4"/>
  <c r="D105" i="4"/>
  <c r="C105" i="4"/>
  <c r="I104" i="4"/>
  <c r="H104" i="4"/>
  <c r="G104" i="4"/>
  <c r="F104" i="4"/>
  <c r="E104" i="4"/>
  <c r="D104" i="4"/>
  <c r="C104" i="4"/>
  <c r="I103" i="4"/>
  <c r="H103" i="4"/>
  <c r="G103" i="4"/>
  <c r="F103" i="4"/>
  <c r="E103" i="4"/>
  <c r="D103" i="4"/>
  <c r="C103" i="4"/>
  <c r="J98" i="4"/>
  <c r="I98" i="4"/>
  <c r="H98" i="4"/>
  <c r="G98" i="4"/>
  <c r="F98" i="4"/>
  <c r="E98" i="4"/>
  <c r="D98" i="4"/>
  <c r="C98" i="4"/>
  <c r="J97" i="4"/>
  <c r="I97" i="4"/>
  <c r="H97" i="4"/>
  <c r="G97" i="4"/>
  <c r="F97" i="4"/>
  <c r="E97" i="4"/>
  <c r="D97" i="4"/>
  <c r="C97" i="4"/>
  <c r="J96" i="4"/>
  <c r="I96" i="4"/>
  <c r="H96" i="4"/>
  <c r="G96" i="4"/>
  <c r="F96" i="4"/>
  <c r="E96" i="4"/>
  <c r="D96" i="4"/>
  <c r="C96" i="4"/>
  <c r="J95" i="4"/>
  <c r="I95" i="4"/>
  <c r="H95" i="4"/>
  <c r="G95" i="4"/>
  <c r="F95" i="4"/>
  <c r="E95" i="4"/>
  <c r="D95" i="4"/>
  <c r="C95" i="4"/>
  <c r="J94" i="4"/>
  <c r="I94" i="4"/>
  <c r="H94" i="4"/>
  <c r="G94" i="4"/>
  <c r="F94" i="4"/>
  <c r="E94" i="4"/>
  <c r="D94" i="4"/>
  <c r="C94" i="4"/>
  <c r="J92" i="4"/>
  <c r="I92" i="4"/>
  <c r="H92" i="4"/>
  <c r="G92" i="4"/>
  <c r="F92" i="4"/>
  <c r="E92" i="4"/>
  <c r="D92" i="4"/>
  <c r="C92" i="4"/>
  <c r="J91" i="4"/>
  <c r="I91" i="4"/>
  <c r="H91" i="4"/>
  <c r="G91" i="4"/>
  <c r="F91" i="4"/>
  <c r="E91" i="4"/>
  <c r="D91" i="4"/>
  <c r="C91" i="4"/>
  <c r="J90" i="4"/>
  <c r="I90" i="4"/>
  <c r="H90" i="4"/>
  <c r="G90" i="4"/>
  <c r="F90" i="4"/>
  <c r="E90" i="4"/>
  <c r="D90" i="4"/>
  <c r="C90" i="4"/>
  <c r="J89" i="4"/>
  <c r="I89" i="4"/>
  <c r="H89" i="4"/>
  <c r="G89" i="4"/>
  <c r="F89" i="4"/>
  <c r="E89" i="4"/>
  <c r="D89" i="4"/>
  <c r="C89" i="4"/>
  <c r="K84" i="4"/>
  <c r="J84" i="4"/>
  <c r="I84" i="4"/>
  <c r="H84" i="4"/>
  <c r="G84" i="4"/>
  <c r="F84" i="4"/>
  <c r="E84" i="4"/>
  <c r="D84" i="4"/>
  <c r="C84" i="4"/>
  <c r="K83" i="4"/>
  <c r="J83" i="4"/>
  <c r="I83" i="4"/>
  <c r="H83" i="4"/>
  <c r="G83" i="4"/>
  <c r="F83" i="4"/>
  <c r="E83" i="4"/>
  <c r="D83" i="4"/>
  <c r="C83" i="4"/>
  <c r="K82" i="4"/>
  <c r="J82" i="4"/>
  <c r="I82" i="4"/>
  <c r="H82" i="4"/>
  <c r="G82" i="4"/>
  <c r="F82" i="4"/>
  <c r="E82" i="4"/>
  <c r="D82" i="4"/>
  <c r="C82" i="4"/>
  <c r="K81" i="4"/>
  <c r="J81" i="4"/>
  <c r="I81" i="4"/>
  <c r="H81" i="4"/>
  <c r="G81" i="4"/>
  <c r="F81" i="4"/>
  <c r="E81" i="4"/>
  <c r="D81" i="4"/>
  <c r="C81" i="4"/>
  <c r="K79" i="4"/>
  <c r="J79" i="4"/>
  <c r="I79" i="4"/>
  <c r="H79" i="4"/>
  <c r="G79" i="4"/>
  <c r="F79" i="4"/>
  <c r="E79" i="4"/>
  <c r="D79" i="4"/>
  <c r="C79" i="4"/>
  <c r="K78" i="4"/>
  <c r="J78" i="4"/>
  <c r="I78" i="4"/>
  <c r="H78" i="4"/>
  <c r="G78" i="4"/>
  <c r="F78" i="4"/>
  <c r="E78" i="4"/>
  <c r="D78" i="4"/>
  <c r="C78" i="4"/>
  <c r="K77" i="4"/>
  <c r="J77" i="4"/>
  <c r="I77" i="4"/>
  <c r="H77" i="4"/>
  <c r="G77" i="4"/>
  <c r="F77" i="4"/>
  <c r="E77" i="4"/>
  <c r="D77" i="4"/>
  <c r="C77" i="4"/>
  <c r="K76" i="4"/>
  <c r="J76" i="4"/>
  <c r="I76" i="4"/>
  <c r="H76" i="4"/>
  <c r="G76" i="4"/>
  <c r="F76" i="4"/>
  <c r="E76" i="4"/>
  <c r="D76" i="4"/>
  <c r="C76" i="4"/>
  <c r="H62" i="4"/>
  <c r="G62" i="4"/>
  <c r="F62" i="4"/>
  <c r="E62" i="4"/>
  <c r="D62" i="4"/>
  <c r="C62" i="4"/>
  <c r="H61" i="4"/>
  <c r="G61" i="4"/>
  <c r="F61" i="4"/>
  <c r="E61" i="4"/>
  <c r="D61" i="4"/>
  <c r="C61" i="4"/>
  <c r="H60" i="4"/>
  <c r="G60" i="4"/>
  <c r="F60" i="4"/>
  <c r="E60" i="4"/>
  <c r="D60" i="4"/>
  <c r="C60" i="4"/>
  <c r="H59" i="4"/>
  <c r="G59" i="4"/>
  <c r="F59" i="4"/>
  <c r="E59" i="4"/>
  <c r="D59" i="4"/>
  <c r="C59" i="4"/>
  <c r="H58" i="4"/>
  <c r="G58" i="4"/>
  <c r="F58" i="4"/>
  <c r="E58" i="4"/>
  <c r="D58" i="4"/>
  <c r="C58" i="4"/>
  <c r="H74" i="3"/>
  <c r="C34" i="3"/>
  <c r="H34" i="3"/>
  <c r="G34" i="3"/>
  <c r="F34" i="3"/>
  <c r="E34" i="3"/>
  <c r="D34" i="3"/>
  <c r="D35" i="3"/>
  <c r="C56" i="3"/>
  <c r="C55" i="3"/>
  <c r="C54" i="3"/>
  <c r="C53" i="3"/>
  <c r="C52" i="3"/>
  <c r="G56" i="3"/>
  <c r="G55" i="3"/>
  <c r="G54" i="3"/>
  <c r="G53" i="3"/>
  <c r="G52" i="3"/>
  <c r="F56" i="3"/>
  <c r="F55" i="3"/>
  <c r="F54" i="3"/>
  <c r="F53" i="3"/>
  <c r="F52" i="3"/>
  <c r="D56" i="3"/>
  <c r="D55" i="3"/>
  <c r="D54" i="3"/>
  <c r="D53" i="3"/>
  <c r="D52" i="3"/>
  <c r="E56" i="3"/>
  <c r="E55" i="3"/>
  <c r="E54" i="3"/>
  <c r="E53" i="3"/>
  <c r="E52" i="3"/>
  <c r="I163" i="3"/>
  <c r="H163" i="3"/>
  <c r="G163" i="3"/>
  <c r="F163" i="3"/>
  <c r="E163" i="3"/>
  <c r="D163" i="3"/>
  <c r="C163" i="3"/>
  <c r="J162" i="3"/>
  <c r="I162" i="3"/>
  <c r="C162" i="3"/>
  <c r="H162" i="3"/>
  <c r="G162" i="3"/>
  <c r="F162" i="3"/>
  <c r="E162" i="3"/>
  <c r="D162" i="3"/>
  <c r="I161" i="3"/>
  <c r="H161" i="3"/>
  <c r="G161" i="3"/>
  <c r="F161" i="3"/>
  <c r="E161" i="3"/>
  <c r="D161" i="3"/>
  <c r="C161" i="3"/>
  <c r="J160" i="3"/>
  <c r="E160" i="3"/>
  <c r="D160" i="3"/>
  <c r="C160" i="3"/>
  <c r="F156" i="3"/>
  <c r="E156" i="3"/>
  <c r="D156" i="3"/>
  <c r="C156" i="3"/>
  <c r="F155" i="3"/>
  <c r="E155" i="3"/>
  <c r="D155" i="3"/>
  <c r="C155" i="3"/>
  <c r="F154" i="3"/>
  <c r="E154" i="3"/>
  <c r="D154" i="3"/>
  <c r="C154" i="3"/>
  <c r="F153" i="3"/>
  <c r="E153" i="3"/>
  <c r="D153" i="3"/>
  <c r="C153" i="3"/>
  <c r="F152" i="3"/>
  <c r="E152" i="3"/>
  <c r="D152" i="3"/>
  <c r="C152" i="3"/>
  <c r="F147" i="3"/>
  <c r="E147" i="3"/>
  <c r="D147" i="3"/>
  <c r="F146" i="3"/>
  <c r="F145" i="3"/>
  <c r="E145" i="3"/>
  <c r="D145" i="3"/>
  <c r="F144" i="3"/>
  <c r="E144" i="3"/>
  <c r="D144" i="3"/>
  <c r="E143" i="3"/>
  <c r="D143" i="3"/>
  <c r="C143" i="3"/>
  <c r="E138" i="3"/>
  <c r="D138" i="3"/>
  <c r="C138" i="3"/>
  <c r="E137" i="3"/>
  <c r="D137" i="3"/>
  <c r="C137" i="3"/>
  <c r="D136" i="3"/>
  <c r="C136" i="3"/>
  <c r="D135" i="3"/>
  <c r="C135" i="3"/>
  <c r="F130" i="3"/>
  <c r="E130" i="3"/>
  <c r="F129" i="3"/>
  <c r="E129" i="3"/>
  <c r="D129" i="3"/>
  <c r="E128" i="3"/>
  <c r="D128" i="3"/>
  <c r="C128" i="3"/>
  <c r="E127" i="3"/>
  <c r="D127" i="3"/>
  <c r="C127" i="3"/>
  <c r="D126" i="3"/>
  <c r="C126" i="3"/>
  <c r="J122" i="3"/>
  <c r="I122" i="3"/>
  <c r="H122" i="3"/>
  <c r="G122" i="3"/>
  <c r="F122" i="3"/>
  <c r="E122" i="3"/>
  <c r="D122" i="3"/>
  <c r="C122" i="3"/>
  <c r="J121" i="3"/>
  <c r="I121" i="3"/>
  <c r="H121" i="3"/>
  <c r="G121" i="3"/>
  <c r="F121" i="3"/>
  <c r="E121" i="3"/>
  <c r="D121" i="3"/>
  <c r="C121" i="3"/>
  <c r="J120" i="3"/>
  <c r="I120" i="3"/>
  <c r="H120" i="3"/>
  <c r="G120" i="3"/>
  <c r="F120" i="3"/>
  <c r="E120" i="3"/>
  <c r="D120" i="3"/>
  <c r="C120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L107" i="3"/>
  <c r="K107" i="3"/>
  <c r="J107" i="3"/>
  <c r="I107" i="3"/>
  <c r="H107" i="3"/>
  <c r="G107" i="3"/>
  <c r="F107" i="3"/>
  <c r="E107" i="3"/>
  <c r="D107" i="3"/>
  <c r="C107" i="3"/>
  <c r="L106" i="3"/>
  <c r="K106" i="3"/>
  <c r="J106" i="3"/>
  <c r="I106" i="3"/>
  <c r="H106" i="3"/>
  <c r="G106" i="3"/>
  <c r="F106" i="3"/>
  <c r="E106" i="3"/>
  <c r="D106" i="3"/>
  <c r="C106" i="3"/>
  <c r="L105" i="3"/>
  <c r="K105" i="3"/>
  <c r="J105" i="3"/>
  <c r="I105" i="3"/>
  <c r="H105" i="3"/>
  <c r="G105" i="3"/>
  <c r="F105" i="3"/>
  <c r="E105" i="3"/>
  <c r="D105" i="3"/>
  <c r="C105" i="3"/>
  <c r="L104" i="3"/>
  <c r="K104" i="3"/>
  <c r="J104" i="3"/>
  <c r="I104" i="3"/>
  <c r="H104" i="3"/>
  <c r="G104" i="3"/>
  <c r="F104" i="3"/>
  <c r="E104" i="3"/>
  <c r="D104" i="3"/>
  <c r="C104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J83" i="3"/>
  <c r="I83" i="3"/>
  <c r="H83" i="3"/>
  <c r="G83" i="3"/>
  <c r="F83" i="3"/>
  <c r="E83" i="3"/>
  <c r="D83" i="3"/>
  <c r="C83" i="3"/>
  <c r="J82" i="3"/>
  <c r="I82" i="3"/>
  <c r="H82" i="3"/>
  <c r="G82" i="3"/>
  <c r="F82" i="3"/>
  <c r="E82" i="3"/>
  <c r="D82" i="3"/>
  <c r="C82" i="3"/>
  <c r="J81" i="3"/>
  <c r="I81" i="3"/>
  <c r="H81" i="3"/>
  <c r="G81" i="3"/>
  <c r="F81" i="3"/>
  <c r="E81" i="3"/>
  <c r="D81" i="3"/>
  <c r="C81" i="3"/>
  <c r="J80" i="3"/>
  <c r="I80" i="3"/>
  <c r="H80" i="3"/>
  <c r="G80" i="3"/>
  <c r="F80" i="3"/>
  <c r="E80" i="3"/>
  <c r="D80" i="3"/>
  <c r="C80" i="3"/>
  <c r="J79" i="3"/>
  <c r="I79" i="3"/>
  <c r="H79" i="3"/>
  <c r="G79" i="3"/>
  <c r="F79" i="3"/>
  <c r="E79" i="3"/>
  <c r="D79" i="3"/>
  <c r="C79" i="3"/>
  <c r="J77" i="3"/>
  <c r="I77" i="3"/>
  <c r="H77" i="3"/>
  <c r="G77" i="3"/>
  <c r="F77" i="3"/>
  <c r="E77" i="3"/>
  <c r="D77" i="3"/>
  <c r="C77" i="3"/>
  <c r="J76" i="3"/>
  <c r="I76" i="3"/>
  <c r="H76" i="3"/>
  <c r="G76" i="3"/>
  <c r="F76" i="3"/>
  <c r="E76" i="3"/>
  <c r="D76" i="3"/>
  <c r="C76" i="3"/>
  <c r="J75" i="3"/>
  <c r="I75" i="3"/>
  <c r="H75" i="3"/>
  <c r="G75" i="3"/>
  <c r="F75" i="3"/>
  <c r="E75" i="3"/>
  <c r="D75" i="3"/>
  <c r="C75" i="3"/>
  <c r="J74" i="3"/>
  <c r="I74" i="3"/>
  <c r="G74" i="3"/>
  <c r="F74" i="3"/>
  <c r="E74" i="3"/>
  <c r="D74" i="3"/>
  <c r="C74" i="3"/>
  <c r="K69" i="3"/>
  <c r="J69" i="3"/>
  <c r="I69" i="3"/>
  <c r="H69" i="3"/>
  <c r="G69" i="3"/>
  <c r="F69" i="3"/>
  <c r="E69" i="3"/>
  <c r="D69" i="3"/>
  <c r="C69" i="3"/>
  <c r="K68" i="3"/>
  <c r="J68" i="3"/>
  <c r="I68" i="3"/>
  <c r="H68" i="3"/>
  <c r="G68" i="3"/>
  <c r="F68" i="3"/>
  <c r="E68" i="3"/>
  <c r="D68" i="3"/>
  <c r="C68" i="3"/>
  <c r="K67" i="3"/>
  <c r="J67" i="3"/>
  <c r="I67" i="3"/>
  <c r="H67" i="3"/>
  <c r="G67" i="3"/>
  <c r="F67" i="3"/>
  <c r="E67" i="3"/>
  <c r="D67" i="3"/>
  <c r="C67" i="3"/>
  <c r="K66" i="3"/>
  <c r="J66" i="3"/>
  <c r="I66" i="3"/>
  <c r="H66" i="3"/>
  <c r="G66" i="3"/>
  <c r="F66" i="3"/>
  <c r="E66" i="3"/>
  <c r="D66" i="3"/>
  <c r="C66" i="3"/>
  <c r="K64" i="3"/>
  <c r="J64" i="3"/>
  <c r="I64" i="3"/>
  <c r="H64" i="3"/>
  <c r="G64" i="3"/>
  <c r="F64" i="3"/>
  <c r="E64" i="3"/>
  <c r="D64" i="3"/>
  <c r="C64" i="3"/>
  <c r="K63" i="3"/>
  <c r="J63" i="3"/>
  <c r="I63" i="3"/>
  <c r="H63" i="3"/>
  <c r="G63" i="3"/>
  <c r="F63" i="3"/>
  <c r="E63" i="3"/>
  <c r="D63" i="3"/>
  <c r="C63" i="3"/>
  <c r="K62" i="3"/>
  <c r="J62" i="3"/>
  <c r="I62" i="3"/>
  <c r="H62" i="3"/>
  <c r="G62" i="3"/>
  <c r="F62" i="3"/>
  <c r="E62" i="3"/>
  <c r="D62" i="3"/>
  <c r="C62" i="3"/>
  <c r="K61" i="3"/>
  <c r="J61" i="3"/>
  <c r="I61" i="3"/>
  <c r="H61" i="3"/>
  <c r="G61" i="3"/>
  <c r="F61" i="3"/>
  <c r="E61" i="3"/>
  <c r="D61" i="3"/>
  <c r="C61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H35" i="3"/>
  <c r="G35" i="3"/>
  <c r="F35" i="3"/>
  <c r="E35" i="3"/>
  <c r="C35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G20" i="3"/>
  <c r="F20" i="3"/>
  <c r="E20" i="3"/>
  <c r="D20" i="3"/>
  <c r="C20" i="3"/>
  <c r="G19" i="3"/>
  <c r="F19" i="3"/>
  <c r="E19" i="3"/>
  <c r="D19" i="3"/>
  <c r="C19" i="3"/>
  <c r="G18" i="3"/>
  <c r="F18" i="3"/>
  <c r="E18" i="3"/>
  <c r="D18" i="3"/>
  <c r="C18" i="3"/>
  <c r="G17" i="3"/>
  <c r="F17" i="3"/>
  <c r="E17" i="3"/>
  <c r="D17" i="3"/>
  <c r="C17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I6" i="3"/>
  <c r="H6" i="3"/>
  <c r="G6" i="3"/>
  <c r="F6" i="3"/>
  <c r="E6" i="3"/>
  <c r="D6" i="3"/>
  <c r="C6" i="3"/>
  <c r="E8" i="1"/>
  <c r="G7" i="1"/>
  <c r="G9" i="1" s="1"/>
  <c r="G6" i="1" s="1"/>
  <c r="D68" i="1"/>
  <c r="D70" i="1" s="1"/>
  <c r="B74" i="1"/>
  <c r="B73" i="1" s="1"/>
  <c r="T24" i="1" l="1"/>
  <c r="H9" i="1"/>
  <c r="G8" i="1"/>
  <c r="Q24" i="1"/>
  <c r="S11" i="1"/>
  <c r="S12" i="1"/>
  <c r="R11" i="1"/>
  <c r="R12" i="1"/>
  <c r="Q34" i="1"/>
  <c r="Q35" i="1" s="1"/>
  <c r="O11" i="1"/>
  <c r="O12" i="1"/>
  <c r="E2" i="5" l="1"/>
  <c r="F3" i="5" s="1"/>
  <c r="G10" i="1" s="1"/>
  <c r="S24" i="1"/>
  <c r="P14" i="1"/>
  <c r="P12" i="1"/>
  <c r="P20" i="1"/>
  <c r="P11" i="1"/>
  <c r="P18" i="1"/>
  <c r="M27" i="1"/>
  <c r="P15" i="1"/>
  <c r="P23" i="1"/>
  <c r="P16" i="1"/>
  <c r="O24" i="1"/>
  <c r="P22" i="1"/>
  <c r="P19" i="1"/>
  <c r="P13" i="1"/>
  <c r="P17" i="1"/>
  <c r="P21" i="1"/>
  <c r="M28" i="1" l="1"/>
  <c r="E5" i="5"/>
  <c r="B24" i="1" s="1"/>
  <c r="G26" i="1"/>
  <c r="G27" i="1" s="1"/>
  <c r="G15" i="1"/>
  <c r="G17" i="1"/>
  <c r="G18" i="1"/>
  <c r="G16" i="1"/>
  <c r="G19" i="1" s="1"/>
  <c r="G20" i="1" s="1"/>
  <c r="F69" i="1"/>
  <c r="B16" i="1" s="1"/>
  <c r="G28" i="1"/>
  <c r="G29" i="1" s="1"/>
  <c r="G30" i="1" s="1"/>
  <c r="G14" i="1"/>
  <c r="G25" i="1"/>
  <c r="P24" i="1"/>
  <c r="C24" i="1" l="1"/>
  <c r="G31" i="1"/>
  <c r="G32" i="1" s="1"/>
  <c r="G35" i="1" s="1"/>
  <c r="C79" i="1"/>
  <c r="C16" i="1"/>
  <c r="B79" i="1"/>
  <c r="G21" i="1"/>
  <c r="G22" i="1" s="1"/>
  <c r="G23" i="1"/>
  <c r="G33" i="1" l="1"/>
  <c r="G34" i="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A41" authorId="0" shapeId="0">
      <text>
        <r>
          <rPr>
            <sz val="8"/>
            <color indexed="81"/>
            <rFont val="Tahoma"/>
          </rPr>
          <t>Note: The conversion of roetgen to SI units is normally into C kg-1.  This is not very useful, so here I will be converting R into pprox gray using air kerma dose of 0 .876 R to 1 gray.                                                                          1 R = 0.000258  C/kg</t>
        </r>
      </text>
    </comment>
    <comment ref="A177" authorId="0" shapeId="0">
      <text>
        <r>
          <rPr>
            <sz val="8"/>
            <color indexed="81"/>
            <rFont val="Tahoma"/>
          </rPr>
          <t>All SI units should be expressed in the preferred form of 10^3n meaning that the use of hecto. deka, deci and centi should be minimized. Also the number should be between 0 and 1000 where ever possible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A56" authorId="0" shapeId="0">
      <text>
        <r>
          <rPr>
            <sz val="8"/>
            <color indexed="81"/>
            <rFont val="Tahoma"/>
          </rPr>
          <t>Note: The conversion of roetgen to SI units is normally into C kg-1.  This is not very useful, so here I will be converting R into pprox gray using air kerma dose of 0 .876 R to 1 gray.                                                                          1 R = 0.000258  C/kg</t>
        </r>
      </text>
    </comment>
    <comment ref="A192" authorId="0" shapeId="0">
      <text>
        <r>
          <rPr>
            <sz val="8"/>
            <color indexed="81"/>
            <rFont val="Tahoma"/>
          </rPr>
          <t>All SI units should be expressed in the preferred form of 10^3n meaning that the use of hecto. deka, deci and centi should be minimized. Also the number should be between 0 and 1000 where ever possible</t>
        </r>
      </text>
    </comment>
  </commentList>
</comments>
</file>

<file path=xl/sharedStrings.xml><?xml version="1.0" encoding="utf-8"?>
<sst xmlns="http://schemas.openxmlformats.org/spreadsheetml/2006/main" count="4000" uniqueCount="3212">
  <si>
    <t>Joules (J)</t>
  </si>
  <si>
    <t>kJ</t>
  </si>
  <si>
    <t>MJ</t>
  </si>
  <si>
    <t>eV</t>
  </si>
  <si>
    <t>KeV</t>
  </si>
  <si>
    <t>MeV</t>
  </si>
  <si>
    <t>Ergs</t>
  </si>
  <si>
    <t>cal</t>
  </si>
  <si>
    <t>Calories</t>
  </si>
  <si>
    <t>Joules</t>
  </si>
  <si>
    <t>SI Prefixes</t>
  </si>
  <si>
    <t>Prefix</t>
  </si>
  <si>
    <t>Symbols</t>
  </si>
  <si>
    <t>exa</t>
  </si>
  <si>
    <t>E</t>
  </si>
  <si>
    <t>deci</t>
  </si>
  <si>
    <t>d</t>
  </si>
  <si>
    <t>peta</t>
  </si>
  <si>
    <t>P</t>
  </si>
  <si>
    <t>centi</t>
  </si>
  <si>
    <t>c</t>
  </si>
  <si>
    <t>tera</t>
  </si>
  <si>
    <t>T</t>
  </si>
  <si>
    <t>milli</t>
  </si>
  <si>
    <t>giga</t>
  </si>
  <si>
    <t>G</t>
  </si>
  <si>
    <t>micro</t>
  </si>
  <si>
    <t>mega</t>
  </si>
  <si>
    <t>M</t>
  </si>
  <si>
    <t>nano</t>
  </si>
  <si>
    <t>n</t>
  </si>
  <si>
    <t>kilo</t>
  </si>
  <si>
    <t>k</t>
  </si>
  <si>
    <t>pico</t>
  </si>
  <si>
    <t>p</t>
  </si>
  <si>
    <t>hecto</t>
  </si>
  <si>
    <t>h</t>
  </si>
  <si>
    <t>femto</t>
  </si>
  <si>
    <t>f</t>
  </si>
  <si>
    <t>deka</t>
  </si>
  <si>
    <t>da</t>
  </si>
  <si>
    <t>atto</t>
  </si>
  <si>
    <t>a</t>
  </si>
  <si>
    <t>Note 1</t>
  </si>
  <si>
    <t xml:space="preserve">SI Units </t>
  </si>
  <si>
    <t>Quantity</t>
  </si>
  <si>
    <t>Name</t>
  </si>
  <si>
    <t>other allowed</t>
  </si>
  <si>
    <t>Base units</t>
  </si>
  <si>
    <t xml:space="preserve">     other base</t>
  </si>
  <si>
    <t xml:space="preserve"> units</t>
  </si>
  <si>
    <t>Length</t>
  </si>
  <si>
    <t>meter</t>
  </si>
  <si>
    <t>kilogram</t>
  </si>
  <si>
    <t>Time</t>
  </si>
  <si>
    <t>s</t>
  </si>
  <si>
    <t>min, h, d, y</t>
  </si>
  <si>
    <t>Electric curr.</t>
  </si>
  <si>
    <t>ampre</t>
  </si>
  <si>
    <t>C   s^-1</t>
  </si>
  <si>
    <t>Temp</t>
  </si>
  <si>
    <t>kelvin</t>
  </si>
  <si>
    <t>K</t>
  </si>
  <si>
    <t>Celsius (C)</t>
  </si>
  <si>
    <t>Amount</t>
  </si>
  <si>
    <t>mole</t>
  </si>
  <si>
    <t>mol</t>
  </si>
  <si>
    <t>joule</t>
  </si>
  <si>
    <t>J</t>
  </si>
  <si>
    <t>ev</t>
  </si>
  <si>
    <t>m^2  kg  s^-1</t>
  </si>
  <si>
    <t>N  M</t>
  </si>
  <si>
    <t>Area</t>
  </si>
  <si>
    <t>m^2</t>
  </si>
  <si>
    <t>km^2, cm^2</t>
  </si>
  <si>
    <t>m^3</t>
  </si>
  <si>
    <t>Frequnecy</t>
  </si>
  <si>
    <t>hertz</t>
  </si>
  <si>
    <t>Hz</t>
  </si>
  <si>
    <t>s^-1</t>
  </si>
  <si>
    <t>Force</t>
  </si>
  <si>
    <t>newton</t>
  </si>
  <si>
    <t>m   kg   s^-2</t>
  </si>
  <si>
    <t>Pressure</t>
  </si>
  <si>
    <t>Pascal</t>
  </si>
  <si>
    <t>Pa</t>
  </si>
  <si>
    <t>m^-1   kg   s^-2</t>
  </si>
  <si>
    <t>N  m^-2</t>
  </si>
  <si>
    <t>Power</t>
  </si>
  <si>
    <t>watt</t>
  </si>
  <si>
    <t>W</t>
  </si>
  <si>
    <t>m^2  kg  s^-3</t>
  </si>
  <si>
    <t>J  s^-1</t>
  </si>
  <si>
    <t>Charge</t>
  </si>
  <si>
    <t>coulomb</t>
  </si>
  <si>
    <t>C</t>
  </si>
  <si>
    <t>s  A</t>
  </si>
  <si>
    <t>E Potential</t>
  </si>
  <si>
    <t>volt</t>
  </si>
  <si>
    <t>V</t>
  </si>
  <si>
    <t>m^2  kg  s^-3  A^-1</t>
  </si>
  <si>
    <t>W  A^-1</t>
  </si>
  <si>
    <t>Capacitance</t>
  </si>
  <si>
    <t>farad</t>
  </si>
  <si>
    <t>F</t>
  </si>
  <si>
    <t>m^-2  kg^-1  s^4  A^2</t>
  </si>
  <si>
    <t>C  V^-1</t>
  </si>
  <si>
    <t>Inductance</t>
  </si>
  <si>
    <t>Henry</t>
  </si>
  <si>
    <t>H</t>
  </si>
  <si>
    <t xml:space="preserve"> m^2  kg  s^-2  A^-2</t>
  </si>
  <si>
    <t>Resistance</t>
  </si>
  <si>
    <t>ohm</t>
  </si>
  <si>
    <t>m^2  kg  s^-3  A^-2</t>
  </si>
  <si>
    <t>becquerel</t>
  </si>
  <si>
    <t>Exposure</t>
  </si>
  <si>
    <t>C  kg^-1</t>
  </si>
  <si>
    <t>kg ^-1  s  A</t>
  </si>
  <si>
    <t>Absorb dose</t>
  </si>
  <si>
    <t>gray</t>
  </si>
  <si>
    <t>m^2  s^-2</t>
  </si>
  <si>
    <t>J  kg^-1</t>
  </si>
  <si>
    <t>Dose equiv.</t>
  </si>
  <si>
    <t>sievert</t>
  </si>
  <si>
    <t>SI to English Unit Conversions</t>
  </si>
  <si>
    <t>Dose</t>
  </si>
  <si>
    <t>nrad</t>
  </si>
  <si>
    <t>cGy</t>
  </si>
  <si>
    <t>Grem</t>
  </si>
  <si>
    <t>cSv</t>
  </si>
  <si>
    <t>CEDE</t>
  </si>
  <si>
    <t>urem/uCi</t>
  </si>
  <si>
    <t>mrem/uCi</t>
  </si>
  <si>
    <t>rem/uCi</t>
  </si>
  <si>
    <r>
      <t>x10</t>
    </r>
    <r>
      <rPr>
        <vertAlign val="superscript"/>
        <sz val="10"/>
        <rFont val="MS Sans Serif"/>
        <family val="2"/>
      </rPr>
      <t>1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</si>
  <si>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-0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</si>
  <si>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-1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</si>
  <si>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-2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</si>
  <si>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-3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</si>
  <si>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-4</t>
    </r>
    <r>
      <rPr>
        <sz val="10"/>
        <rFont val="MS Sans Serif"/>
        <family val="2"/>
      </rPr>
      <t>Sv/Bq</t>
    </r>
  </si>
  <si>
    <r>
      <t>x10</t>
    </r>
    <r>
      <rPr>
        <vertAlign val="superscript"/>
        <sz val="10"/>
        <rFont val="MS Sans Serif"/>
        <family val="2"/>
      </rPr>
      <t>-5</t>
    </r>
    <r>
      <rPr>
        <sz val="10"/>
        <rFont val="MS Sans Serif"/>
        <family val="2"/>
      </rPr>
      <t xml:space="preserve"> Sv/Bq</t>
    </r>
  </si>
  <si>
    <t>Submersion</t>
  </si>
  <si>
    <r>
      <t>x10</t>
    </r>
    <r>
      <rPr>
        <vertAlign val="superscript"/>
        <sz val="10"/>
        <rFont val="MS Sans Serif"/>
        <family val="2"/>
      </rPr>
      <t>-6</t>
    </r>
    <r>
      <rPr>
        <sz val="10"/>
        <rFont val="MS Sans Serif"/>
        <family val="2"/>
      </rPr>
      <t xml:space="preserve"> Sv/Bq</t>
    </r>
  </si>
  <si>
    <r>
      <t>mrem/hr per uCi/cm</t>
    </r>
    <r>
      <rPr>
        <b/>
        <vertAlign val="superscript"/>
        <sz val="10"/>
        <rFont val="MS Sans Serif"/>
      </rPr>
      <t>3</t>
    </r>
  </si>
  <si>
    <r>
      <t>x10</t>
    </r>
    <r>
      <rPr>
        <vertAlign val="superscript"/>
        <sz val="10"/>
        <rFont val="MS Sans Serif"/>
        <family val="2"/>
      </rPr>
      <t>-7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</si>
  <si>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-10</t>
    </r>
    <r>
      <rPr>
        <sz val="10"/>
        <rFont val="MS Sans Serif"/>
        <family val="2"/>
      </rPr>
      <t xml:space="preserve"> Sv/hr per Bq/m</t>
    </r>
    <r>
      <rPr>
        <vertAlign val="superscript"/>
        <sz val="10"/>
        <rFont val="MS Sans Serif"/>
        <family val="2"/>
      </rPr>
      <t>3</t>
    </r>
  </si>
  <si>
    <r>
      <t>x10</t>
    </r>
    <r>
      <rPr>
        <vertAlign val="superscript"/>
        <sz val="10"/>
        <rFont val="MS Sans Serif"/>
        <family val="2"/>
      </rPr>
      <t>-8</t>
    </r>
    <r>
      <rPr>
        <sz val="10"/>
        <rFont val="MS Sans Serif"/>
        <family val="2"/>
      </rPr>
      <t xml:space="preserve"> Sv/Bq</t>
    </r>
  </si>
  <si>
    <r>
      <t>x10</t>
    </r>
    <r>
      <rPr>
        <vertAlign val="superscript"/>
        <sz val="10"/>
        <rFont val="MS Sans Serif"/>
        <family val="2"/>
      </rPr>
      <t>-11</t>
    </r>
    <r>
      <rPr>
        <sz val="10"/>
        <rFont val="MS Sans Serif"/>
        <family val="2"/>
      </rPr>
      <t xml:space="preserve"> Sv/hr per Bq/m</t>
    </r>
    <r>
      <rPr>
        <vertAlign val="superscript"/>
        <sz val="10"/>
        <rFont val="MS Sans Serif"/>
        <family val="2"/>
      </rPr>
      <t>3</t>
    </r>
  </si>
  <si>
    <r>
      <t>x10</t>
    </r>
    <r>
      <rPr>
        <vertAlign val="superscript"/>
        <sz val="10"/>
        <rFont val="MS Sans Serif"/>
        <family val="2"/>
      </rPr>
      <t xml:space="preserve">-9 </t>
    </r>
    <r>
      <rPr>
        <sz val="10"/>
        <rFont val="MS Sans Serif"/>
        <family val="2"/>
      </rPr>
      <t>Sv/Bq</t>
    </r>
  </si>
  <si>
    <r>
      <t>x10</t>
    </r>
    <r>
      <rPr>
        <vertAlign val="superscript"/>
        <sz val="10"/>
        <rFont val="MS Sans Serif"/>
        <family val="2"/>
      </rPr>
      <t>-12</t>
    </r>
    <r>
      <rPr>
        <sz val="10"/>
        <rFont val="MS Sans Serif"/>
        <family val="2"/>
      </rPr>
      <t xml:space="preserve"> Sv/hr per Bq/m</t>
    </r>
    <r>
      <rPr>
        <vertAlign val="superscript"/>
        <sz val="10"/>
        <rFont val="MS Sans Serif"/>
        <family val="2"/>
      </rPr>
      <t>3</t>
    </r>
  </si>
  <si>
    <r>
      <t>x10</t>
    </r>
    <r>
      <rPr>
        <vertAlign val="superscript"/>
        <sz val="10"/>
        <rFont val="MS Sans Serif"/>
        <family val="2"/>
      </rPr>
      <t xml:space="preserve">-10 </t>
    </r>
    <r>
      <rPr>
        <sz val="10"/>
        <rFont val="MS Sans Serif"/>
        <family val="2"/>
      </rPr>
      <t>Sv/Bq</t>
    </r>
  </si>
  <si>
    <r>
      <t>x10</t>
    </r>
    <r>
      <rPr>
        <vertAlign val="superscript"/>
        <sz val="10"/>
        <rFont val="MS Sans Serif"/>
        <family val="2"/>
      </rPr>
      <t>-13</t>
    </r>
    <r>
      <rPr>
        <sz val="10"/>
        <rFont val="MS Sans Serif"/>
        <family val="2"/>
      </rPr>
      <t xml:space="preserve"> Sv/hr per Bq/m</t>
    </r>
    <r>
      <rPr>
        <vertAlign val="superscript"/>
        <sz val="10"/>
        <rFont val="MS Sans Serif"/>
        <family val="2"/>
      </rPr>
      <t>3</t>
    </r>
  </si>
  <si>
    <r>
      <t>x10</t>
    </r>
    <r>
      <rPr>
        <vertAlign val="superscript"/>
        <sz val="10"/>
        <rFont val="MS Sans Serif"/>
        <family val="2"/>
      </rPr>
      <t xml:space="preserve">-11 </t>
    </r>
    <r>
      <rPr>
        <sz val="10"/>
        <rFont val="MS Sans Serif"/>
        <family val="2"/>
      </rPr>
      <t>Sv/Bq</t>
    </r>
  </si>
  <si>
    <r>
      <t>x10</t>
    </r>
    <r>
      <rPr>
        <vertAlign val="superscript"/>
        <sz val="10"/>
        <rFont val="MS Sans Serif"/>
        <family val="2"/>
      </rPr>
      <t>-14</t>
    </r>
    <r>
      <rPr>
        <sz val="10"/>
        <rFont val="MS Sans Serif"/>
        <family val="2"/>
      </rPr>
      <t xml:space="preserve"> Sv/hr per Bq/m</t>
    </r>
    <r>
      <rPr>
        <vertAlign val="superscript"/>
        <sz val="10"/>
        <rFont val="MS Sans Serif"/>
        <family val="2"/>
      </rPr>
      <t>3</t>
    </r>
  </si>
  <si>
    <r>
      <t>x10</t>
    </r>
    <r>
      <rPr>
        <vertAlign val="superscript"/>
        <sz val="10"/>
        <rFont val="MS Sans Serif"/>
        <family val="2"/>
      </rPr>
      <t xml:space="preserve">-12 </t>
    </r>
    <r>
      <rPr>
        <sz val="10"/>
        <rFont val="MS Sans Serif"/>
        <family val="2"/>
      </rPr>
      <t>Sv/Bq</t>
    </r>
  </si>
  <si>
    <r>
      <t>x10</t>
    </r>
    <r>
      <rPr>
        <vertAlign val="superscript"/>
        <sz val="10"/>
        <rFont val="MS Sans Serif"/>
        <family val="2"/>
      </rPr>
      <t xml:space="preserve">-13 </t>
    </r>
    <r>
      <rPr>
        <sz val="10"/>
        <rFont val="MS Sans Serif"/>
        <family val="2"/>
      </rPr>
      <t>Sv/Bq</t>
    </r>
  </si>
  <si>
    <t>Convert</t>
  </si>
  <si>
    <t>This spread sheet converts mass to activity and activity to mass, and gives specific activity</t>
  </si>
  <si>
    <t>Isotope</t>
  </si>
  <si>
    <t>At. mass (u)</t>
  </si>
  <si>
    <t>Half life</t>
  </si>
  <si>
    <t>time unit</t>
  </si>
  <si>
    <t>Z</t>
  </si>
  <si>
    <t>Note:</t>
  </si>
  <si>
    <t>Ac-0</t>
  </si>
  <si>
    <t>Fill in Yellow areas only:</t>
  </si>
  <si>
    <t>Blue numbers are between 1 and 1000</t>
  </si>
  <si>
    <t>Ac-209</t>
  </si>
  <si>
    <t>sec</t>
  </si>
  <si>
    <t>Info:</t>
  </si>
  <si>
    <t>Ac-210</t>
  </si>
  <si>
    <t xml:space="preserve"> </t>
  </si>
  <si>
    <t>Symbol</t>
  </si>
  <si>
    <t>A</t>
  </si>
  <si>
    <t>Ac-211</t>
  </si>
  <si>
    <t>Isotope:</t>
  </si>
  <si>
    <t>Ac-212</t>
  </si>
  <si>
    <t>for</t>
  </si>
  <si>
    <t>Weight</t>
  </si>
  <si>
    <t>Ac-213</t>
  </si>
  <si>
    <t>second</t>
  </si>
  <si>
    <t>Percent pure isotope</t>
  </si>
  <si>
    <t>%</t>
  </si>
  <si>
    <t>Ac-214</t>
  </si>
  <si>
    <t>ms</t>
  </si>
  <si>
    <t>milliseconds</t>
  </si>
  <si>
    <t xml:space="preserve">Lamda = </t>
  </si>
  <si>
    <t>sec-1</t>
  </si>
  <si>
    <t>Ac-215</t>
  </si>
  <si>
    <t>us</t>
  </si>
  <si>
    <t>microseconds</t>
  </si>
  <si>
    <t>Ac-216</t>
  </si>
  <si>
    <t>day</t>
  </si>
  <si>
    <t>days</t>
  </si>
  <si>
    <t>Ac-217</t>
  </si>
  <si>
    <t>yr</t>
  </si>
  <si>
    <t>years</t>
  </si>
  <si>
    <t>Specific Activity</t>
  </si>
  <si>
    <t>Ac-218</t>
  </si>
  <si>
    <t>hr</t>
  </si>
  <si>
    <t>hours</t>
  </si>
  <si>
    <t>Number</t>
  </si>
  <si>
    <t>Unit</t>
  </si>
  <si>
    <t>Pure:</t>
  </si>
  <si>
    <t>kCi/g</t>
  </si>
  <si>
    <t>Ac-219</t>
  </si>
  <si>
    <t>Activity</t>
  </si>
  <si>
    <t>mCi</t>
  </si>
  <si>
    <t>Ci/g</t>
  </si>
  <si>
    <t>Ac-220</t>
  </si>
  <si>
    <t>to</t>
  </si>
  <si>
    <t>mCi/g</t>
  </si>
  <si>
    <t>Ac-221</t>
  </si>
  <si>
    <t xml:space="preserve">Weight </t>
  </si>
  <si>
    <r>
      <t>m</t>
    </r>
    <r>
      <rPr>
        <sz val="10"/>
        <rFont val="MS Sans Serif"/>
      </rPr>
      <t>Ci/g</t>
    </r>
  </si>
  <si>
    <t>Ac-222</t>
  </si>
  <si>
    <t>nCi/g</t>
  </si>
  <si>
    <t>Ac-223</t>
  </si>
  <si>
    <t>min</t>
  </si>
  <si>
    <t>mBq/g</t>
  </si>
  <si>
    <t>Ac-224</t>
  </si>
  <si>
    <t>Bq/g</t>
  </si>
  <si>
    <t>Ac-225</t>
  </si>
  <si>
    <t>kBq/g</t>
  </si>
  <si>
    <t>Ac-226</t>
  </si>
  <si>
    <t>MBq/g</t>
  </si>
  <si>
    <t>Ac-227</t>
  </si>
  <si>
    <t>ug</t>
  </si>
  <si>
    <t>Bq/Kg</t>
  </si>
  <si>
    <t>Ac-228</t>
  </si>
  <si>
    <t>Ac-229</t>
  </si>
  <si>
    <t>In mixture</t>
  </si>
  <si>
    <t>Ci/kg</t>
  </si>
  <si>
    <t>Ac-230</t>
  </si>
  <si>
    <t>mCi/kg</t>
  </si>
  <si>
    <t>Ac-231</t>
  </si>
  <si>
    <t>Ac-232</t>
  </si>
  <si>
    <t>Ag-0</t>
  </si>
  <si>
    <t>Ag-100</t>
  </si>
  <si>
    <t>pCi/g</t>
  </si>
  <si>
    <t>Ag-101</t>
  </si>
  <si>
    <t>Ag-102</t>
  </si>
  <si>
    <t>Ag-103</t>
  </si>
  <si>
    <t>Ag-104</t>
  </si>
  <si>
    <t>Ag-105</t>
  </si>
  <si>
    <t>Misc conversions</t>
  </si>
  <si>
    <t>Ag-106</t>
  </si>
  <si>
    <t>Ag-107</t>
  </si>
  <si>
    <t>Ag-108</t>
  </si>
  <si>
    <t>year</t>
  </si>
  <si>
    <t>factor used</t>
  </si>
  <si>
    <t>Ci</t>
  </si>
  <si>
    <t>Ag-109</t>
  </si>
  <si>
    <t>Ag-110</t>
  </si>
  <si>
    <t>hour</t>
  </si>
  <si>
    <t>Ag-111</t>
  </si>
  <si>
    <t>Ag-112</t>
  </si>
  <si>
    <t>Ag-113</t>
  </si>
  <si>
    <t>Ag-114</t>
  </si>
  <si>
    <t>Ag-115</t>
  </si>
  <si>
    <t>Ag-116</t>
  </si>
  <si>
    <t>Ag-117</t>
  </si>
  <si>
    <t>Factor</t>
  </si>
  <si>
    <t>Ag-118</t>
  </si>
  <si>
    <t>Ag-119</t>
  </si>
  <si>
    <t>pCi</t>
  </si>
  <si>
    <t>Ag-120</t>
  </si>
  <si>
    <t>nCi</t>
  </si>
  <si>
    <t>Ag-121</t>
  </si>
  <si>
    <t>uCi</t>
  </si>
  <si>
    <t>Ag-122</t>
  </si>
  <si>
    <t>Ag-123</t>
  </si>
  <si>
    <t>Ag-124</t>
  </si>
  <si>
    <t>kCi</t>
  </si>
  <si>
    <t>Ag-96</t>
  </si>
  <si>
    <t>MCi</t>
  </si>
  <si>
    <t>Ag-97</t>
  </si>
  <si>
    <t>Bq</t>
  </si>
  <si>
    <t>Ag-98</t>
  </si>
  <si>
    <t>kBq</t>
  </si>
  <si>
    <t>Ag-99</t>
  </si>
  <si>
    <t>MBq</t>
  </si>
  <si>
    <t>Al-0</t>
  </si>
  <si>
    <t>GBq</t>
  </si>
  <si>
    <t>Al-21</t>
  </si>
  <si>
    <t>mBq</t>
  </si>
  <si>
    <t>Al-22</t>
  </si>
  <si>
    <t>Al-23</t>
  </si>
  <si>
    <t>Al-24</t>
  </si>
  <si>
    <t>Al-25</t>
  </si>
  <si>
    <t>Al-26</t>
  </si>
  <si>
    <t>Al-27</t>
  </si>
  <si>
    <t>Al-28</t>
  </si>
  <si>
    <t>Al-29</t>
  </si>
  <si>
    <t>kg</t>
  </si>
  <si>
    <t>grams</t>
  </si>
  <si>
    <t>Al-30</t>
  </si>
  <si>
    <t>gm</t>
  </si>
  <si>
    <t>Al-31</t>
  </si>
  <si>
    <t>mg</t>
  </si>
  <si>
    <t>Al-32</t>
  </si>
  <si>
    <t>Al-33</t>
  </si>
  <si>
    <t>lb</t>
  </si>
  <si>
    <t>Al-34</t>
  </si>
  <si>
    <t>oz</t>
  </si>
  <si>
    <t>Al-35</t>
  </si>
  <si>
    <t>Al-36</t>
  </si>
  <si>
    <t>Al-37</t>
  </si>
  <si>
    <t>Al-38</t>
  </si>
  <si>
    <t>Am-233</t>
  </si>
  <si>
    <t>Am-234</t>
  </si>
  <si>
    <t>Am-235</t>
  </si>
  <si>
    <t>Am-236</t>
  </si>
  <si>
    <t>Am-237</t>
  </si>
  <si>
    <t>Am-238</t>
  </si>
  <si>
    <t>Am-239</t>
  </si>
  <si>
    <t>Am-240</t>
  </si>
  <si>
    <t>Am-241</t>
  </si>
  <si>
    <t>Am-242</t>
  </si>
  <si>
    <t>Am-243</t>
  </si>
  <si>
    <t>Am-244</t>
  </si>
  <si>
    <t>Am-245</t>
  </si>
  <si>
    <t>Am-246</t>
  </si>
  <si>
    <t>Am-247</t>
  </si>
  <si>
    <t>Am-248</t>
  </si>
  <si>
    <t>Ar-0</t>
  </si>
  <si>
    <t>Ar-30</t>
  </si>
  <si>
    <t>Ar-31</t>
  </si>
  <si>
    <t>Ar-32</t>
  </si>
  <si>
    <t>Ar-33</t>
  </si>
  <si>
    <t>Ar-34</t>
  </si>
  <si>
    <t>Ar-35</t>
  </si>
  <si>
    <t>Ar-36</t>
  </si>
  <si>
    <t>Ar-37</t>
  </si>
  <si>
    <t>Ar-38</t>
  </si>
  <si>
    <t>Ar-39</t>
  </si>
  <si>
    <t>Ar-40</t>
  </si>
  <si>
    <t>Ar-41</t>
  </si>
  <si>
    <t>Ar-42</t>
  </si>
  <si>
    <t>Ar-43</t>
  </si>
  <si>
    <t>Ar-44</t>
  </si>
  <si>
    <t>Ar-45</t>
  </si>
  <si>
    <t>Ar-46</t>
  </si>
  <si>
    <t>Ar-47</t>
  </si>
  <si>
    <t>Ar-48</t>
  </si>
  <si>
    <t>As-0</t>
  </si>
  <si>
    <t>As-60</t>
  </si>
  <si>
    <t>As-61</t>
  </si>
  <si>
    <t>As-62</t>
  </si>
  <si>
    <t>As-63</t>
  </si>
  <si>
    <t>As-64</t>
  </si>
  <si>
    <t>As-65</t>
  </si>
  <si>
    <t>As-66</t>
  </si>
  <si>
    <t>As-67</t>
  </si>
  <si>
    <t>As-68</t>
  </si>
  <si>
    <t>As-69</t>
  </si>
  <si>
    <t>As-70</t>
  </si>
  <si>
    <t>As-71</t>
  </si>
  <si>
    <t>As-72</t>
  </si>
  <si>
    <t>As-73</t>
  </si>
  <si>
    <t>As-74</t>
  </si>
  <si>
    <t>As-75</t>
  </si>
  <si>
    <t>As-76</t>
  </si>
  <si>
    <t>As-77</t>
  </si>
  <si>
    <t>As-78</t>
  </si>
  <si>
    <t>As-79</t>
  </si>
  <si>
    <t>As-80</t>
  </si>
  <si>
    <t>As-81</t>
  </si>
  <si>
    <t>As-82</t>
  </si>
  <si>
    <t>As-83</t>
  </si>
  <si>
    <t>As-84</t>
  </si>
  <si>
    <t>As-85</t>
  </si>
  <si>
    <t>As-86</t>
  </si>
  <si>
    <t>As-87</t>
  </si>
  <si>
    <t>As-88</t>
  </si>
  <si>
    <t>At-0</t>
  </si>
  <si>
    <t>At-194</t>
  </si>
  <si>
    <t>At-195</t>
  </si>
  <si>
    <t>At-196</t>
  </si>
  <si>
    <t>At-197</t>
  </si>
  <si>
    <t>At-198</t>
  </si>
  <si>
    <t>At-199</t>
  </si>
  <si>
    <t>At-200</t>
  </si>
  <si>
    <t>At-201</t>
  </si>
  <si>
    <t>At-202</t>
  </si>
  <si>
    <t>At-203</t>
  </si>
  <si>
    <t>At-204</t>
  </si>
  <si>
    <t>At-205</t>
  </si>
  <si>
    <t>At-206</t>
  </si>
  <si>
    <t>At-207</t>
  </si>
  <si>
    <t>At-208</t>
  </si>
  <si>
    <t>At-209</t>
  </si>
  <si>
    <t>At-210</t>
  </si>
  <si>
    <t>At-211</t>
  </si>
  <si>
    <t>At-212</t>
  </si>
  <si>
    <t>At-213</t>
  </si>
  <si>
    <t>At-214</t>
  </si>
  <si>
    <t>At-215</t>
  </si>
  <si>
    <t>At-216</t>
  </si>
  <si>
    <t>At-217</t>
  </si>
  <si>
    <t>At-218</t>
  </si>
  <si>
    <t>At-219</t>
  </si>
  <si>
    <t>At-220</t>
  </si>
  <si>
    <t>Au-0</t>
  </si>
  <si>
    <t>Au-172</t>
  </si>
  <si>
    <t>Au-173</t>
  </si>
  <si>
    <t>Au-174</t>
  </si>
  <si>
    <t>Au-175</t>
  </si>
  <si>
    <t>Au-176</t>
  </si>
  <si>
    <t>Au-177</t>
  </si>
  <si>
    <t>Au-178</t>
  </si>
  <si>
    <t>Au-179</t>
  </si>
  <si>
    <t>Au-180</t>
  </si>
  <si>
    <t>Au-181</t>
  </si>
  <si>
    <t>Au-182</t>
  </si>
  <si>
    <t>Au-183</t>
  </si>
  <si>
    <t>Au-184</t>
  </si>
  <si>
    <t>Au-185</t>
  </si>
  <si>
    <t>Au-186</t>
  </si>
  <si>
    <t>Au-187</t>
  </si>
  <si>
    <t>Au-188</t>
  </si>
  <si>
    <t>Au-189</t>
  </si>
  <si>
    <t>Au-190</t>
  </si>
  <si>
    <t>Au-191</t>
  </si>
  <si>
    <t>Au-192</t>
  </si>
  <si>
    <t>Au-193</t>
  </si>
  <si>
    <t>Au-194</t>
  </si>
  <si>
    <t>Au-195</t>
  </si>
  <si>
    <t>Au-196</t>
  </si>
  <si>
    <t>Au-197</t>
  </si>
  <si>
    <t>Au-198</t>
  </si>
  <si>
    <t>Au-199</t>
  </si>
  <si>
    <t>Au-200</t>
  </si>
  <si>
    <t>Au-201</t>
  </si>
  <si>
    <t>Au-202</t>
  </si>
  <si>
    <t>Au-203</t>
  </si>
  <si>
    <t>Au-204</t>
  </si>
  <si>
    <t>B-0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</si>
  <si>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</si>
  <si>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</si>
  <si>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</si>
  <si>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</si>
  <si>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</si>
  <si>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</si>
  <si>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</si>
  <si>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</si>
  <si>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</si>
  <si>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</si>
  <si>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B-7</t>
  </si>
  <si>
    <t>B-8</t>
  </si>
  <si>
    <t>B-9</t>
  </si>
  <si>
    <t>Ba-0</t>
  </si>
  <si>
    <t>Ba-115</t>
  </si>
  <si>
    <t>Ba-116</t>
  </si>
  <si>
    <t>Ba-117</t>
  </si>
  <si>
    <t>Ba-118</t>
  </si>
  <si>
    <t>Ba-119</t>
  </si>
  <si>
    <t>Ba-120</t>
  </si>
  <si>
    <t>Ba-121</t>
  </si>
  <si>
    <t>Ba-122</t>
  </si>
  <si>
    <t>Ba-123</t>
  </si>
  <si>
    <t>Ba-124</t>
  </si>
  <si>
    <t>Ba-125</t>
  </si>
  <si>
    <t>Ba-126</t>
  </si>
  <si>
    <t>Ba-127</t>
  </si>
  <si>
    <t>Ba-128</t>
  </si>
  <si>
    <t>Ba-129</t>
  </si>
  <si>
    <t>Ba-130</t>
  </si>
  <si>
    <t>Ba-131</t>
  </si>
  <si>
    <t>Ba-132</t>
  </si>
  <si>
    <t>Ba-133</t>
  </si>
  <si>
    <t>Ba-134</t>
  </si>
  <si>
    <t>Ba-135</t>
  </si>
  <si>
    <t>Ba-136</t>
  </si>
  <si>
    <t>Ba-137</t>
  </si>
  <si>
    <t>Ba-138</t>
  </si>
  <si>
    <t>Ba-139</t>
  </si>
  <si>
    <t>Ba-140</t>
  </si>
  <si>
    <t>Ba-141</t>
  </si>
  <si>
    <t>Ba-142</t>
  </si>
  <si>
    <t>Ba-143</t>
  </si>
  <si>
    <t>Ba-144</t>
  </si>
  <si>
    <t>Ba-145</t>
  </si>
  <si>
    <t>Ba-146</t>
  </si>
  <si>
    <t>Ba-147</t>
  </si>
  <si>
    <t>Ba-148</t>
  </si>
  <si>
    <t>Ba-149</t>
  </si>
  <si>
    <t>Ba-150</t>
  </si>
  <si>
    <t>Be-0</t>
  </si>
  <si>
    <t>Be-10</t>
  </si>
  <si>
    <t>Be-11</t>
  </si>
  <si>
    <t>Be-12</t>
  </si>
  <si>
    <t>Be-13</t>
  </si>
  <si>
    <t>Be-14</t>
  </si>
  <si>
    <t>Be-6</t>
  </si>
  <si>
    <t>Be-7</t>
  </si>
  <si>
    <t>Be-8</t>
  </si>
  <si>
    <t>Be-9</t>
  </si>
  <si>
    <t>Bi-0</t>
  </si>
  <si>
    <t>Bi-185</t>
  </si>
  <si>
    <t>Bi-186</t>
  </si>
  <si>
    <t>Bi-187</t>
  </si>
  <si>
    <t>Bi-188</t>
  </si>
  <si>
    <t>Bi-189</t>
  </si>
  <si>
    <t>Bi-190</t>
  </si>
  <si>
    <t>Bi-191</t>
  </si>
  <si>
    <t>Bi-192</t>
  </si>
  <si>
    <t>Bi-193</t>
  </si>
  <si>
    <t>Bi-194</t>
  </si>
  <si>
    <t>Bi-195</t>
  </si>
  <si>
    <t>Bi-196</t>
  </si>
  <si>
    <t>Bi-197</t>
  </si>
  <si>
    <t>Bi-198</t>
  </si>
  <si>
    <t>Bi-199</t>
  </si>
  <si>
    <t>Bi-200</t>
  </si>
  <si>
    <t>Bi-201</t>
  </si>
  <si>
    <t>Bi-202</t>
  </si>
  <si>
    <t>Bi-203</t>
  </si>
  <si>
    <t>Bi-204</t>
  </si>
  <si>
    <t>Bi-205</t>
  </si>
  <si>
    <t>Bi-206</t>
  </si>
  <si>
    <t>Bi-207</t>
  </si>
  <si>
    <t>Bi-208</t>
  </si>
  <si>
    <t>Bi-209</t>
  </si>
  <si>
    <t>Bi-210</t>
  </si>
  <si>
    <t>Bi-211</t>
  </si>
  <si>
    <t>Bi-212</t>
  </si>
  <si>
    <t>Bi-213</t>
  </si>
  <si>
    <t>Bi-214</t>
  </si>
  <si>
    <t>Bi-215</t>
  </si>
  <si>
    <t>Bi-216</t>
  </si>
  <si>
    <t>Bk-237</t>
  </si>
  <si>
    <t>Bk-238</t>
  </si>
  <si>
    <t>Bk-239</t>
  </si>
  <si>
    <t>Bk-240</t>
  </si>
  <si>
    <t>Bk-241</t>
  </si>
  <si>
    <t>Bk-242</t>
  </si>
  <si>
    <t>Bk-243</t>
  </si>
  <si>
    <t>Bk-244</t>
  </si>
  <si>
    <t>Bk-245</t>
  </si>
  <si>
    <t>Bk-246</t>
  </si>
  <si>
    <t>Bk-247</t>
  </si>
  <si>
    <t>Bk-248</t>
  </si>
  <si>
    <t>Bk-249</t>
  </si>
  <si>
    <t>Bk-250</t>
  </si>
  <si>
    <t>Bk-251</t>
  </si>
  <si>
    <t>Bk-252</t>
  </si>
  <si>
    <t>Bk-253</t>
  </si>
  <si>
    <t>Br-0</t>
  </si>
  <si>
    <t>Br-68</t>
  </si>
  <si>
    <t>Br-69</t>
  </si>
  <si>
    <t>Br-70</t>
  </si>
  <si>
    <t>Br-71</t>
  </si>
  <si>
    <t>Br-72</t>
  </si>
  <si>
    <t>Br-73</t>
  </si>
  <si>
    <t>Br-74</t>
  </si>
  <si>
    <t>Br-75</t>
  </si>
  <si>
    <t>Br-76</t>
  </si>
  <si>
    <t>Br-77</t>
  </si>
  <si>
    <t>Br-78</t>
  </si>
  <si>
    <t>Br-79</t>
  </si>
  <si>
    <t>Br-80</t>
  </si>
  <si>
    <t>Br-81</t>
  </si>
  <si>
    <t>Br-82</t>
  </si>
  <si>
    <t>Br-83</t>
  </si>
  <si>
    <t>Br-84</t>
  </si>
  <si>
    <t>Br-85</t>
  </si>
  <si>
    <t>Br-86</t>
  </si>
  <si>
    <t>Br-87</t>
  </si>
  <si>
    <t>Br-88</t>
  </si>
  <si>
    <t>Br-89</t>
  </si>
  <si>
    <t>Br-90</t>
  </si>
  <si>
    <t>Br-91</t>
  </si>
  <si>
    <t>Br-92</t>
  </si>
  <si>
    <t>Br-93</t>
  </si>
  <si>
    <t>C-0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</si>
  <si>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</si>
  <si>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</si>
  <si>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</si>
  <si>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</si>
  <si>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</si>
  <si>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</si>
  <si>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</si>
  <si>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</si>
  <si>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</si>
  <si>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</si>
  <si>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</si>
  <si>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</si>
  <si>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</si>
  <si>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C-8</t>
  </si>
  <si>
    <t>C-9</t>
  </si>
  <si>
    <t>Ca-0</t>
  </si>
  <si>
    <t>Ca-34</t>
  </si>
  <si>
    <t>Ca-35</t>
  </si>
  <si>
    <t>Ca-36</t>
  </si>
  <si>
    <t>Ca-37</t>
  </si>
  <si>
    <t>Ca-38</t>
  </si>
  <si>
    <t>Ca-39</t>
  </si>
  <si>
    <t>Ca-40</t>
  </si>
  <si>
    <t>Ca-41</t>
  </si>
  <si>
    <t>Ca-42</t>
  </si>
  <si>
    <t>Ca-43</t>
  </si>
  <si>
    <t>Ca-44</t>
  </si>
  <si>
    <t>Ca-45</t>
  </si>
  <si>
    <t>Ca-46</t>
  </si>
  <si>
    <t>Ca-47</t>
  </si>
  <si>
    <t>Ca-48</t>
  </si>
  <si>
    <t>Ca-49</t>
  </si>
  <si>
    <t>Ca-50</t>
  </si>
  <si>
    <t>Ca-51</t>
  </si>
  <si>
    <t>Ca-52</t>
  </si>
  <si>
    <t>Ca-53</t>
  </si>
  <si>
    <t>Cd-0</t>
  </si>
  <si>
    <t>Cd-100</t>
  </si>
  <si>
    <t>Cd-101</t>
  </si>
  <si>
    <t>Cd-102</t>
  </si>
  <si>
    <t>Cd-103</t>
  </si>
  <si>
    <t>Cd-104</t>
  </si>
  <si>
    <t>Cd-105</t>
  </si>
  <si>
    <t>Cd-106</t>
  </si>
  <si>
    <t>Cd-107</t>
  </si>
  <si>
    <t>Cd-108</t>
  </si>
  <si>
    <t>Cd-109</t>
  </si>
  <si>
    <t>Cd-110</t>
  </si>
  <si>
    <t>Cd-111</t>
  </si>
  <si>
    <t>Cd-112</t>
  </si>
  <si>
    <t>Cd-113</t>
  </si>
  <si>
    <t>Cd-114</t>
  </si>
  <si>
    <t>Cd-115</t>
  </si>
  <si>
    <t>Cd-116</t>
  </si>
  <si>
    <t>Cd-117</t>
  </si>
  <si>
    <t>Cd-118</t>
  </si>
  <si>
    <t>Cd-119</t>
  </si>
  <si>
    <t>Cd-120</t>
  </si>
  <si>
    <t>Cd-121</t>
  </si>
  <si>
    <t>Cd-122</t>
  </si>
  <si>
    <t>Cd-123</t>
  </si>
  <si>
    <t>Cd-124</t>
  </si>
  <si>
    <t>Cd-125</t>
  </si>
  <si>
    <t>Cd-126</t>
  </si>
  <si>
    <t>Cd-127</t>
  </si>
  <si>
    <t>Cd-128</t>
  </si>
  <si>
    <t>Cd-98</t>
  </si>
  <si>
    <t>Cd-99</t>
  </si>
  <si>
    <t>Ce-0</t>
  </si>
  <si>
    <t>Ce-121</t>
  </si>
  <si>
    <t>Ce-122</t>
  </si>
  <si>
    <t>Ce-123</t>
  </si>
  <si>
    <t>Ce-124</t>
  </si>
  <si>
    <t>Ce-125</t>
  </si>
  <si>
    <t>Ce-126</t>
  </si>
  <si>
    <t>Ce-127</t>
  </si>
  <si>
    <t>Ce-128</t>
  </si>
  <si>
    <t>Ce-129</t>
  </si>
  <si>
    <t>Ce-130</t>
  </si>
  <si>
    <t>Ce-131</t>
  </si>
  <si>
    <t>Ce-132</t>
  </si>
  <si>
    <t>Ce-133</t>
  </si>
  <si>
    <t>Ce-134</t>
  </si>
  <si>
    <t>Ce-135</t>
  </si>
  <si>
    <t>Ce-136</t>
  </si>
  <si>
    <t>Ce-137</t>
  </si>
  <si>
    <t>Ce-138</t>
  </si>
  <si>
    <t>Ce-139</t>
  </si>
  <si>
    <t>Ce-140</t>
  </si>
  <si>
    <t>Ce-141</t>
  </si>
  <si>
    <t>Ce-142</t>
  </si>
  <si>
    <t>Ce-143</t>
  </si>
  <si>
    <t>Ce-144</t>
  </si>
  <si>
    <t>Ce-145</t>
  </si>
  <si>
    <t>Ce-146</t>
  </si>
  <si>
    <t>Ce-147</t>
  </si>
  <si>
    <t>Ce-148</t>
  </si>
  <si>
    <t>Ce-149</t>
  </si>
  <si>
    <t>Ce-150</t>
  </si>
  <si>
    <t>Ce-151</t>
  </si>
  <si>
    <t>Ce-152</t>
  </si>
  <si>
    <t>Ce-153</t>
  </si>
  <si>
    <t>Cf-239</t>
  </si>
  <si>
    <t>Cf-240</t>
  </si>
  <si>
    <t>Cf-241</t>
  </si>
  <si>
    <t>Cf-242</t>
  </si>
  <si>
    <t>Cf-243</t>
  </si>
  <si>
    <t>Cf-244</t>
  </si>
  <si>
    <t>Cf-245</t>
  </si>
  <si>
    <t>Cf-246</t>
  </si>
  <si>
    <t>Cf-247</t>
  </si>
  <si>
    <t>Cf-248</t>
  </si>
  <si>
    <t>Cf-249</t>
  </si>
  <si>
    <t>Cf-250</t>
  </si>
  <si>
    <t>Cf-251</t>
  </si>
  <si>
    <t>Cf-252</t>
  </si>
  <si>
    <t>Cf-253</t>
  </si>
  <si>
    <t>Cf-254</t>
  </si>
  <si>
    <t>Cf-255</t>
  </si>
  <si>
    <t>Cl-0</t>
  </si>
  <si>
    <t>Cl-28</t>
  </si>
  <si>
    <t>Cl-29</t>
  </si>
  <si>
    <t>Cl-30</t>
  </si>
  <si>
    <t>Cl-31</t>
  </si>
  <si>
    <t>Cl-32</t>
  </si>
  <si>
    <t>Cl-33</t>
  </si>
  <si>
    <t>Cl-34</t>
  </si>
  <si>
    <t>Cl-35</t>
  </si>
  <si>
    <t>Cl-36</t>
  </si>
  <si>
    <t>Cl-37</t>
  </si>
  <si>
    <t>Cl-38</t>
  </si>
  <si>
    <t>Cl-39</t>
  </si>
  <si>
    <t>Cl-40</t>
  </si>
  <si>
    <t>Cl-41</t>
  </si>
  <si>
    <t>Cl-42</t>
  </si>
  <si>
    <t>Cl-43</t>
  </si>
  <si>
    <t>Cl-44</t>
  </si>
  <si>
    <t>Cl-45</t>
  </si>
  <si>
    <t>Cl-46</t>
  </si>
  <si>
    <t>Cl-47</t>
  </si>
  <si>
    <t>Cm-235</t>
  </si>
  <si>
    <t>Cm-236</t>
  </si>
  <si>
    <t>Cm-237</t>
  </si>
  <si>
    <t>Cm-238</t>
  </si>
  <si>
    <t>Cm-239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</si>
  <si>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</si>
  <si>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</si>
  <si>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</si>
  <si>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</si>
  <si>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</si>
  <si>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</si>
  <si>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</si>
  <si>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</si>
  <si>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</si>
  <si>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</si>
  <si>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</si>
  <si>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Cm-251</t>
  </si>
  <si>
    <t>Co-0</t>
  </si>
  <si>
    <t>Co-48</t>
  </si>
  <si>
    <t>Co-49</t>
  </si>
  <si>
    <t>Co-50</t>
  </si>
  <si>
    <t>Co-51</t>
  </si>
  <si>
    <t>Co-52</t>
  </si>
  <si>
    <t>Co-53</t>
  </si>
  <si>
    <t>Co-54</t>
  </si>
  <si>
    <t>Co-55</t>
  </si>
  <si>
    <t>Co-56</t>
  </si>
  <si>
    <t>Co-57</t>
  </si>
  <si>
    <t>Co-58</t>
  </si>
  <si>
    <t>Co-59</t>
  </si>
  <si>
    <t>Co-60</t>
  </si>
  <si>
    <t>Co-61</t>
  </si>
  <si>
    <t>Co-62</t>
  </si>
  <si>
    <t>Co-63</t>
  </si>
  <si>
    <t>Co-64</t>
  </si>
  <si>
    <t>Co-65</t>
  </si>
  <si>
    <t>Co-66</t>
  </si>
  <si>
    <t>Co-67</t>
  </si>
  <si>
    <t>Co-68</t>
  </si>
  <si>
    <t>Co-69</t>
  </si>
  <si>
    <t>Co-70</t>
  </si>
  <si>
    <t>Co-71</t>
  </si>
  <si>
    <t>Cr-0</t>
  </si>
  <si>
    <t>Cr-42</t>
  </si>
  <si>
    <t>Cr-43</t>
  </si>
  <si>
    <t>Cr-44</t>
  </si>
  <si>
    <t>Cr-45</t>
  </si>
  <si>
    <t>Cr-46</t>
  </si>
  <si>
    <t>Cr-47</t>
  </si>
  <si>
    <t>Cr-48</t>
  </si>
  <si>
    <t>Cr-49</t>
  </si>
  <si>
    <t>Cr-50</t>
  </si>
  <si>
    <t>Cr-51</t>
  </si>
  <si>
    <t>Cr-52</t>
  </si>
  <si>
    <t>Cr-53</t>
  </si>
  <si>
    <t>Cr-54</t>
  </si>
  <si>
    <t>Cr-55</t>
  </si>
  <si>
    <t>Cr-56</t>
  </si>
  <si>
    <t>Cr-57</t>
  </si>
  <si>
    <t>Cr-58</t>
  </si>
  <si>
    <t>Cr-59</t>
  </si>
  <si>
    <t>Cr-60</t>
  </si>
  <si>
    <t>Cr-61</t>
  </si>
  <si>
    <t>Cr-62</t>
  </si>
  <si>
    <t>Cs-0</t>
  </si>
  <si>
    <t>Cs-112</t>
  </si>
  <si>
    <t>Cs-113</t>
  </si>
  <si>
    <t>Cs-114</t>
  </si>
  <si>
    <t>Cs-115</t>
  </si>
  <si>
    <t>Cs-116</t>
  </si>
  <si>
    <t>Cs-117</t>
  </si>
  <si>
    <t>Cs-118</t>
  </si>
  <si>
    <t>Cs-119</t>
  </si>
  <si>
    <t>Cs-120</t>
  </si>
  <si>
    <t>Cs-121</t>
  </si>
  <si>
    <t>Cs-122</t>
  </si>
  <si>
    <t>Cs-123</t>
  </si>
  <si>
    <t>Cs-124</t>
  </si>
  <si>
    <t>Cs-125</t>
  </si>
  <si>
    <t>Cs-126</t>
  </si>
  <si>
    <t>Cs-127</t>
  </si>
  <si>
    <t>Cs-128</t>
  </si>
  <si>
    <t>Cs-129</t>
  </si>
  <si>
    <t>Cs-130</t>
  </si>
  <si>
    <t>Cs-131</t>
  </si>
  <si>
    <t>Cs-132</t>
  </si>
  <si>
    <t>Cs-133</t>
  </si>
  <si>
    <t>Cs-134</t>
  </si>
  <si>
    <t>Cs-135</t>
  </si>
  <si>
    <t>Cs-136</t>
  </si>
  <si>
    <t>Cs-137</t>
  </si>
  <si>
    <t>Cs-138</t>
  </si>
  <si>
    <t>Cs-139</t>
  </si>
  <si>
    <t>Cs-140</t>
  </si>
  <si>
    <t>Cs-141</t>
  </si>
  <si>
    <t>Cs-142</t>
  </si>
  <si>
    <t>Cs-143</t>
  </si>
  <si>
    <t>Cs-144</t>
  </si>
  <si>
    <t>Cs-145</t>
  </si>
  <si>
    <t>Cs-146</t>
  </si>
  <si>
    <t>Cs-147</t>
  </si>
  <si>
    <t>Cs-148</t>
  </si>
  <si>
    <t>Cs-149</t>
  </si>
  <si>
    <t>Cu-0</t>
  </si>
  <si>
    <t>Cu-52</t>
  </si>
  <si>
    <t>Cu-53</t>
  </si>
  <si>
    <t>Cu-54</t>
  </si>
  <si>
    <t>Cu-55</t>
  </si>
  <si>
    <t>Cu-56</t>
  </si>
  <si>
    <t>Cu-57</t>
  </si>
  <si>
    <t>Cu-58</t>
  </si>
  <si>
    <t>Cu-59</t>
  </si>
  <si>
    <t>Cu-60</t>
  </si>
  <si>
    <t>Cu-61</t>
  </si>
  <si>
    <t>Cu-62</t>
  </si>
  <si>
    <t>Cu-63</t>
  </si>
  <si>
    <t>Cu-64</t>
  </si>
  <si>
    <t>Cu-65</t>
  </si>
  <si>
    <t>Cu-66</t>
  </si>
  <si>
    <t>Cu-67</t>
  </si>
  <si>
    <t>Cu-68</t>
  </si>
  <si>
    <t>Cu-69</t>
  </si>
  <si>
    <t>Cu-70</t>
  </si>
  <si>
    <t>Cu-71</t>
  </si>
  <si>
    <t>Cu-72</t>
  </si>
  <si>
    <t>Cu-73</t>
  </si>
  <si>
    <t>Cu-74</t>
  </si>
  <si>
    <t>Cu-75</t>
  </si>
  <si>
    <t>Cu-76</t>
  </si>
  <si>
    <t>Cu-77</t>
  </si>
  <si>
    <t>Cu-78</t>
  </si>
  <si>
    <t>Cu-79</t>
  </si>
  <si>
    <t>Dy-0</t>
  </si>
  <si>
    <t>Dy-141</t>
  </si>
  <si>
    <t>Dy-142</t>
  </si>
  <si>
    <t>Dy-143</t>
  </si>
  <si>
    <t>Dy-144</t>
  </si>
  <si>
    <t>Dy-145</t>
  </si>
  <si>
    <t>Dy-146</t>
  </si>
  <si>
    <t>Dy-147</t>
  </si>
  <si>
    <t>Dy-148</t>
  </si>
  <si>
    <t>Dy-149</t>
  </si>
  <si>
    <t>Dy-150</t>
  </si>
  <si>
    <t>Dy-151</t>
  </si>
  <si>
    <t>Dy-152</t>
  </si>
  <si>
    <t>Dy-153</t>
  </si>
  <si>
    <t>Dy-154</t>
  </si>
  <si>
    <t>Dy-155</t>
  </si>
  <si>
    <t>Dy-156</t>
  </si>
  <si>
    <t>Dy-157</t>
  </si>
  <si>
    <t>Dy-158</t>
  </si>
  <si>
    <t>Dy-159</t>
  </si>
  <si>
    <t>Dy-160</t>
  </si>
  <si>
    <t>Dy-161</t>
  </si>
  <si>
    <t>Dy-162</t>
  </si>
  <si>
    <t>Dy-163</t>
  </si>
  <si>
    <t>Dy-164</t>
  </si>
  <si>
    <t>Dy-165</t>
  </si>
  <si>
    <t>Dy-166</t>
  </si>
  <si>
    <t>Dy-167</t>
  </si>
  <si>
    <t>Dy-168</t>
  </si>
  <si>
    <t>Dy-169</t>
  </si>
  <si>
    <t>Er-0</t>
  </si>
  <si>
    <t>Er-145</t>
  </si>
  <si>
    <t>Er-146</t>
  </si>
  <si>
    <t>Er-147</t>
  </si>
  <si>
    <t>Er-148</t>
  </si>
  <si>
    <t>Er-149</t>
  </si>
  <si>
    <t>Er-150</t>
  </si>
  <si>
    <t>Er-151</t>
  </si>
  <si>
    <t>Er-152</t>
  </si>
  <si>
    <t>Er-153</t>
  </si>
  <si>
    <t>Er-154</t>
  </si>
  <si>
    <t>Er-155</t>
  </si>
  <si>
    <t>Er-156</t>
  </si>
  <si>
    <t>Er-157</t>
  </si>
  <si>
    <t>Er-158</t>
  </si>
  <si>
    <t>Er-159</t>
  </si>
  <si>
    <t>Er-160</t>
  </si>
  <si>
    <t>Er-161</t>
  </si>
  <si>
    <t>Er-162</t>
  </si>
  <si>
    <t>Er-163</t>
  </si>
  <si>
    <t>Er-164</t>
  </si>
  <si>
    <t>Er-165</t>
  </si>
  <si>
    <t>Er-166</t>
  </si>
  <si>
    <t>Er-167</t>
  </si>
  <si>
    <t>Er-168</t>
  </si>
  <si>
    <t>Er-169</t>
  </si>
  <si>
    <t>Er-170</t>
  </si>
  <si>
    <t>Er-171</t>
  </si>
  <si>
    <t>Er-172</t>
  </si>
  <si>
    <t>Er-173</t>
  </si>
  <si>
    <t>Er-174</t>
  </si>
  <si>
    <t>Es-241</t>
  </si>
  <si>
    <t>Es-242</t>
  </si>
  <si>
    <t>Es-243</t>
  </si>
  <si>
    <t>Es-244</t>
  </si>
  <si>
    <t>Es-245</t>
  </si>
  <si>
    <t>Es-246</t>
  </si>
  <si>
    <t>Es-247</t>
  </si>
  <si>
    <t>Es-248</t>
  </si>
  <si>
    <t>Es-249</t>
  </si>
  <si>
    <t>Es-250</t>
  </si>
  <si>
    <t>Es-251</t>
  </si>
  <si>
    <t>Es-252</t>
  </si>
  <si>
    <t>Es-253</t>
  </si>
  <si>
    <t>Es-254</t>
  </si>
  <si>
    <t>Es-255</t>
  </si>
  <si>
    <t>Es-256</t>
  </si>
  <si>
    <t>Es-257</t>
  </si>
  <si>
    <t>Eu-0</t>
  </si>
  <si>
    <t>Eu-135</t>
  </si>
  <si>
    <t>Eu-136</t>
  </si>
  <si>
    <t>Eu-137</t>
  </si>
  <si>
    <t>Eu-138</t>
  </si>
  <si>
    <t>Eu-139</t>
  </si>
  <si>
    <t>Eu-140</t>
  </si>
  <si>
    <t>Eu-141</t>
  </si>
  <si>
    <t>Eu-142</t>
  </si>
  <si>
    <t>Eu-143</t>
  </si>
  <si>
    <t>Eu-144</t>
  </si>
  <si>
    <t>Eu-145</t>
  </si>
  <si>
    <t>Eu-146</t>
  </si>
  <si>
    <t>Eu-147</t>
  </si>
  <si>
    <t>Eu-148</t>
  </si>
  <si>
    <t>Eu-149</t>
  </si>
  <si>
    <t>Eu-150</t>
  </si>
  <si>
    <t>Eu-151</t>
  </si>
  <si>
    <t>Eu-152</t>
  </si>
  <si>
    <t>Eu-153</t>
  </si>
  <si>
    <t>Eu-154</t>
  </si>
  <si>
    <t>Eu-155</t>
  </si>
  <si>
    <t>Eu-156</t>
  </si>
  <si>
    <t>Eu-157</t>
  </si>
  <si>
    <t>Eu-158</t>
  </si>
  <si>
    <t>Eu-159</t>
  </si>
  <si>
    <t>Eu-160</t>
  </si>
  <si>
    <t>Eu-161</t>
  </si>
  <si>
    <t>Eu-162</t>
  </si>
  <si>
    <t>Eu-163</t>
  </si>
  <si>
    <t>F-0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</si>
  <si>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</si>
  <si>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</si>
  <si>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</si>
  <si>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</si>
  <si>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</si>
  <si>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</si>
  <si>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</si>
  <si>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</si>
  <si>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</si>
  <si>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F-23</t>
  </si>
  <si>
    <t>F-24</t>
  </si>
  <si>
    <t>F-25</t>
  </si>
  <si>
    <t>F-26</t>
  </si>
  <si>
    <t>F-27</t>
  </si>
  <si>
    <t>F-28</t>
  </si>
  <si>
    <t>F-29</t>
  </si>
  <si>
    <t>Fe-0</t>
  </si>
  <si>
    <t>Fe-45</t>
  </si>
  <si>
    <t>Fe-46</t>
  </si>
  <si>
    <t>Fe-47</t>
  </si>
  <si>
    <t>Fe-48</t>
  </si>
  <si>
    <t>Fe-49</t>
  </si>
  <si>
    <t>Fe-50</t>
  </si>
  <si>
    <t>Fe-51</t>
  </si>
  <si>
    <t>Fe-52</t>
  </si>
  <si>
    <t>Fe-53</t>
  </si>
  <si>
    <t>Fe-54</t>
  </si>
  <si>
    <t>Fe-55</t>
  </si>
  <si>
    <t>Fe-56</t>
  </si>
  <si>
    <t>Fe-57</t>
  </si>
  <si>
    <t>Fe-58</t>
  </si>
  <si>
    <t>Fe-59</t>
  </si>
  <si>
    <t>Fe-60</t>
  </si>
  <si>
    <t>Fe-61</t>
  </si>
  <si>
    <t>Fe-62</t>
  </si>
  <si>
    <t>Fe-63</t>
  </si>
  <si>
    <t>Fe-64</t>
  </si>
  <si>
    <t>Fe-65</t>
  </si>
  <si>
    <t>Fe-66</t>
  </si>
  <si>
    <t>Fe-67</t>
  </si>
  <si>
    <t>Fe-68</t>
  </si>
  <si>
    <t>Fm-243</t>
  </si>
  <si>
    <t>Fm-244</t>
  </si>
  <si>
    <t>Fm-245</t>
  </si>
  <si>
    <t>Fm-246</t>
  </si>
  <si>
    <t>Fm-247</t>
  </si>
  <si>
    <t>Fm-248</t>
  </si>
  <si>
    <t>Fm-249</t>
  </si>
  <si>
    <t>Fm-250</t>
  </si>
  <si>
    <t>Fm-251</t>
  </si>
  <si>
    <t>Fm-252</t>
  </si>
  <si>
    <t>Fm-253</t>
  </si>
  <si>
    <t>Fm-254</t>
  </si>
  <si>
    <t>Fm-255</t>
  </si>
  <si>
    <t>Fm-256</t>
  </si>
  <si>
    <t>Fm-257</t>
  </si>
  <si>
    <t>Fm-258</t>
  </si>
  <si>
    <t>Fm-259</t>
  </si>
  <si>
    <t>Fr-0</t>
  </si>
  <si>
    <t>Fr-201</t>
  </si>
  <si>
    <t>Fr-202</t>
  </si>
  <si>
    <t>Fr-203</t>
  </si>
  <si>
    <t>Fr-204</t>
  </si>
  <si>
    <t>Fr-205</t>
  </si>
  <si>
    <t>Fr-206</t>
  </si>
  <si>
    <t>Fr-207</t>
  </si>
  <si>
    <t>Fr-208</t>
  </si>
  <si>
    <t>Fr-209</t>
  </si>
  <si>
    <t>Fr-210</t>
  </si>
  <si>
    <t>Fr-211</t>
  </si>
  <si>
    <t>Fr-212</t>
  </si>
  <si>
    <t>Fr-213</t>
  </si>
  <si>
    <t>Fr-214</t>
  </si>
  <si>
    <t>Fr-215</t>
  </si>
  <si>
    <t>Fr-216</t>
  </si>
  <si>
    <t>Fr-217</t>
  </si>
  <si>
    <t>Fr-218</t>
  </si>
  <si>
    <t>Fr-219</t>
  </si>
  <si>
    <t>Fr-220</t>
  </si>
  <si>
    <t>Fr-221</t>
  </si>
  <si>
    <t>Fr-222</t>
  </si>
  <si>
    <t>Fr-223</t>
  </si>
  <si>
    <t>Fr-224</t>
  </si>
  <si>
    <t>Fr-225</t>
  </si>
  <si>
    <t>Fr-226</t>
  </si>
  <si>
    <t>Fr-227</t>
  </si>
  <si>
    <t>Fr-228</t>
  </si>
  <si>
    <t>Ga-0</t>
  </si>
  <si>
    <t>Ga-56</t>
  </si>
  <si>
    <t>Ga-57</t>
  </si>
  <si>
    <t>Ga-58</t>
  </si>
  <si>
    <t>Ga-59</t>
  </si>
  <si>
    <t>Ga-60</t>
  </si>
  <si>
    <t>Ga-61</t>
  </si>
  <si>
    <t>Ga-62</t>
  </si>
  <si>
    <t>Ga-63</t>
  </si>
  <si>
    <t>Ga-64</t>
  </si>
  <si>
    <t>Ga-65</t>
  </si>
  <si>
    <t>Ga-66</t>
  </si>
  <si>
    <t>Ga-67</t>
  </si>
  <si>
    <t>Ga-68</t>
  </si>
  <si>
    <t>Ga-69</t>
  </si>
  <si>
    <t>Ga-70</t>
  </si>
  <si>
    <t>Ga-71</t>
  </si>
  <si>
    <t>Ga-72</t>
  </si>
  <si>
    <t>Ga-73</t>
  </si>
  <si>
    <t>Ga-74</t>
  </si>
  <si>
    <t>Ga-75</t>
  </si>
  <si>
    <t>Ga-76</t>
  </si>
  <si>
    <t>Ga-77</t>
  </si>
  <si>
    <t>Ga-78</t>
  </si>
  <si>
    <t>Ga-79</t>
  </si>
  <si>
    <t>Ga-80</t>
  </si>
  <si>
    <t>Ga-81</t>
  </si>
  <si>
    <t>Ga-82</t>
  </si>
  <si>
    <t>Ga-83</t>
  </si>
  <si>
    <t>Ga-84</t>
  </si>
  <si>
    <t>Gd-0</t>
  </si>
  <si>
    <t>Gd-137</t>
  </si>
  <si>
    <t>Gd-138</t>
  </si>
  <si>
    <t>Gd-139</t>
  </si>
  <si>
    <t>Gd-140</t>
  </si>
  <si>
    <t>Gd-141</t>
  </si>
  <si>
    <t>Gd-142</t>
  </si>
  <si>
    <t>Gd-143</t>
  </si>
  <si>
    <t>Gd-144</t>
  </si>
  <si>
    <t>Gd-145</t>
  </si>
  <si>
    <t>Gd-146</t>
  </si>
  <si>
    <t>Gd-147</t>
  </si>
  <si>
    <t>Gd-148</t>
  </si>
  <si>
    <t>Gd-149</t>
  </si>
  <si>
    <t>Gd-150</t>
  </si>
  <si>
    <t>Gd-151</t>
  </si>
  <si>
    <t>Gd-152</t>
  </si>
  <si>
    <t>Gd-153</t>
  </si>
  <si>
    <t>Gd-154</t>
  </si>
  <si>
    <t>Gd-155</t>
  </si>
  <si>
    <t>Gd-156</t>
  </si>
  <si>
    <t>Gd-157</t>
  </si>
  <si>
    <t>Gd-158</t>
  </si>
  <si>
    <t>Gd-159</t>
  </si>
  <si>
    <t>Gd-160</t>
  </si>
  <si>
    <t>Gd-161</t>
  </si>
  <si>
    <t>Gd-162</t>
  </si>
  <si>
    <t>Gd-163</t>
  </si>
  <si>
    <t>Gd-164</t>
  </si>
  <si>
    <t>Gd-165</t>
  </si>
  <si>
    <t>Ge-0</t>
  </si>
  <si>
    <t>Ge-58</t>
  </si>
  <si>
    <t>Ge-59</t>
  </si>
  <si>
    <t>Ge-60</t>
  </si>
  <si>
    <t>Ge-61</t>
  </si>
  <si>
    <t>Ge-62</t>
  </si>
  <si>
    <t>Ge-63</t>
  </si>
  <si>
    <t>Ge-64</t>
  </si>
  <si>
    <t>Ge-65</t>
  </si>
  <si>
    <t>Ge-66</t>
  </si>
  <si>
    <t>Ge-67</t>
  </si>
  <si>
    <t>Ge-68</t>
  </si>
  <si>
    <t>Ge-69</t>
  </si>
  <si>
    <t>Ge-70</t>
  </si>
  <si>
    <t>Ge-71</t>
  </si>
  <si>
    <t>Ge-72</t>
  </si>
  <si>
    <t>Ge-73</t>
  </si>
  <si>
    <t>Ge-74</t>
  </si>
  <si>
    <t>Ge-75</t>
  </si>
  <si>
    <t>Ge-76</t>
  </si>
  <si>
    <t>Ge-77</t>
  </si>
  <si>
    <t>Ge-78</t>
  </si>
  <si>
    <t>Ge-79</t>
  </si>
  <si>
    <t>Ge-80</t>
  </si>
  <si>
    <t>Ge-81</t>
  </si>
  <si>
    <t>Ge-82</t>
  </si>
  <si>
    <t>Ge-83</t>
  </si>
  <si>
    <t>Ge-84</t>
  </si>
  <si>
    <t>Ge-85</t>
  </si>
  <si>
    <t>Ge-86</t>
  </si>
  <si>
    <t>H-0</t>
  </si>
  <si>
    <t>H-1</t>
  </si>
  <si>
    <t>H-2</t>
  </si>
  <si>
    <t>H-3</t>
  </si>
  <si>
    <t>H-4</t>
  </si>
  <si>
    <t>H-5</t>
  </si>
  <si>
    <t>H-6</t>
  </si>
  <si>
    <t>He-0</t>
  </si>
  <si>
    <t>He-3</t>
  </si>
  <si>
    <t>He-4</t>
  </si>
  <si>
    <t>He-5</t>
  </si>
  <si>
    <t>He-6</t>
  </si>
  <si>
    <t>He-7</t>
  </si>
  <si>
    <t>He-8</t>
  </si>
  <si>
    <t>He-9</t>
  </si>
  <si>
    <t>Hf-0</t>
  </si>
  <si>
    <t>Hf-154</t>
  </si>
  <si>
    <t>Hf-155</t>
  </si>
  <si>
    <t>Hf-156</t>
  </si>
  <si>
    <t>Hf-157</t>
  </si>
  <si>
    <t>Hf-158</t>
  </si>
  <si>
    <t>Hf-159</t>
  </si>
  <si>
    <t>Hf-160</t>
  </si>
  <si>
    <t>Hf-161</t>
  </si>
  <si>
    <t>Hf-162</t>
  </si>
  <si>
    <t>Hf-163</t>
  </si>
  <si>
    <t>Hf-164</t>
  </si>
  <si>
    <t>Hf-165</t>
  </si>
  <si>
    <t>Hf-166</t>
  </si>
  <si>
    <t>Hf-167</t>
  </si>
  <si>
    <t>Hf-168</t>
  </si>
  <si>
    <t>Hf-169</t>
  </si>
  <si>
    <t>Hf-170</t>
  </si>
  <si>
    <t>Hf-171</t>
  </si>
  <si>
    <t>Hf-172</t>
  </si>
  <si>
    <t>Hf-173</t>
  </si>
  <si>
    <t>Hf-174</t>
  </si>
  <si>
    <t>Hf-175</t>
  </si>
  <si>
    <t>Hf-176</t>
  </si>
  <si>
    <t>Hf-177</t>
  </si>
  <si>
    <t>Hf-178</t>
  </si>
  <si>
    <t>Hf-179</t>
  </si>
  <si>
    <t>Hf-180</t>
  </si>
  <si>
    <t>Hf-181</t>
  </si>
  <si>
    <t>Hf-182</t>
  </si>
  <si>
    <t>Hf-183</t>
  </si>
  <si>
    <t>Hf-184</t>
  </si>
  <si>
    <t>Hg-0</t>
  </si>
  <si>
    <t>Hg-174</t>
  </si>
  <si>
    <t>Hg-175</t>
  </si>
  <si>
    <t>Hg-176</t>
  </si>
  <si>
    <t>Hg-177</t>
  </si>
  <si>
    <t>Hg-178</t>
  </si>
  <si>
    <t>Hg-179</t>
  </si>
  <si>
    <t>Hg-180</t>
  </si>
  <si>
    <t>Hg-181</t>
  </si>
  <si>
    <t>Hg-182</t>
  </si>
  <si>
    <t>Hg-183</t>
  </si>
  <si>
    <t>Hg-184</t>
  </si>
  <si>
    <t>Hg-185</t>
  </si>
  <si>
    <t>Hg-186</t>
  </si>
  <si>
    <t>Hg-187</t>
  </si>
  <si>
    <t>Hg-188</t>
  </si>
  <si>
    <t>Hg-189</t>
  </si>
  <si>
    <t>Hg-190</t>
  </si>
  <si>
    <t>Hg-191</t>
  </si>
  <si>
    <t>Hg-192</t>
  </si>
  <si>
    <t>Hg-193</t>
  </si>
  <si>
    <t>Hg-194</t>
  </si>
  <si>
    <t>Hg-195</t>
  </si>
  <si>
    <t>Hg-196</t>
  </si>
  <si>
    <t>Hg-197</t>
  </si>
  <si>
    <t>Hg-198</t>
  </si>
  <si>
    <t>Hg-199</t>
  </si>
  <si>
    <t>Hg-200</t>
  </si>
  <si>
    <t>Hg-201</t>
  </si>
  <si>
    <t>Hg-202</t>
  </si>
  <si>
    <t>Hg-203</t>
  </si>
  <si>
    <t>Hg-204</t>
  </si>
  <si>
    <t>Hg-205</t>
  </si>
  <si>
    <t>Hg-206</t>
  </si>
  <si>
    <t>Hg-207</t>
  </si>
  <si>
    <t>Ho-0</t>
  </si>
  <si>
    <t>Ho-143</t>
  </si>
  <si>
    <t>Ho-144</t>
  </si>
  <si>
    <t>Ho-145</t>
  </si>
  <si>
    <t>Ho-146</t>
  </si>
  <si>
    <t>Ho-147</t>
  </si>
  <si>
    <t>Ho-148</t>
  </si>
  <si>
    <t>Ho-149</t>
  </si>
  <si>
    <t>Ho-150</t>
  </si>
  <si>
    <t>Ho-151</t>
  </si>
  <si>
    <t>Ho-152</t>
  </si>
  <si>
    <t>Ho-153</t>
  </si>
  <si>
    <t>Ho-154</t>
  </si>
  <si>
    <t>Ho-155</t>
  </si>
  <si>
    <t>Ho-156</t>
  </si>
  <si>
    <t>Ho-157</t>
  </si>
  <si>
    <t>Ho-158</t>
  </si>
  <si>
    <t>Ho-159</t>
  </si>
  <si>
    <t>Ho-160</t>
  </si>
  <si>
    <t>Ho-161</t>
  </si>
  <si>
    <t>Ho-162</t>
  </si>
  <si>
    <t>Ho-163</t>
  </si>
  <si>
    <t>Ho-164</t>
  </si>
  <si>
    <t>Ho-165</t>
  </si>
  <si>
    <t>Ho-166</t>
  </si>
  <si>
    <t>Ho-167</t>
  </si>
  <si>
    <t>Ho-168</t>
  </si>
  <si>
    <t>Ho-169</t>
  </si>
  <si>
    <t>Ho-170</t>
  </si>
  <si>
    <t>Ho-171</t>
  </si>
  <si>
    <t>Hs-264</t>
  </si>
  <si>
    <t>Hs-265</t>
  </si>
  <si>
    <t>Hs-266</t>
  </si>
  <si>
    <t>I-0</t>
  </si>
  <si>
    <t>I-108</t>
  </si>
  <si>
    <t>I-109</t>
  </si>
  <si>
    <t>I-110</t>
  </si>
  <si>
    <t>I-111</t>
  </si>
  <si>
    <t>I-112</t>
  </si>
  <si>
    <t>I-113</t>
  </si>
  <si>
    <t>I-114</t>
  </si>
  <si>
    <t>I-115</t>
  </si>
  <si>
    <t>I-116</t>
  </si>
  <si>
    <t>I-117</t>
  </si>
  <si>
    <t>I-118</t>
  </si>
  <si>
    <t>I-119</t>
  </si>
  <si>
    <t>I-120</t>
  </si>
  <si>
    <t>I-121</t>
  </si>
  <si>
    <t>I-122</t>
  </si>
  <si>
    <t>I-123</t>
  </si>
  <si>
    <t>I-124</t>
  </si>
  <si>
    <t>I-125</t>
  </si>
  <si>
    <t>I-126</t>
  </si>
  <si>
    <t>I-127</t>
  </si>
  <si>
    <t>I-128</t>
  </si>
  <si>
    <t>I-129</t>
  </si>
  <si>
    <t>I-130</t>
  </si>
  <si>
    <t>I-131</t>
  </si>
  <si>
    <t>I-132</t>
  </si>
  <si>
    <t>I-133</t>
  </si>
  <si>
    <t>I-134</t>
  </si>
  <si>
    <t>I-135</t>
  </si>
  <si>
    <t>I-136</t>
  </si>
  <si>
    <t>I-137</t>
  </si>
  <si>
    <t>I-138</t>
  </si>
  <si>
    <t>I-139</t>
  </si>
  <si>
    <t>I-140</t>
  </si>
  <si>
    <t>I-141</t>
  </si>
  <si>
    <t>In-0</t>
  </si>
  <si>
    <t>In-100</t>
  </si>
  <si>
    <t>In-101</t>
  </si>
  <si>
    <t>In-102</t>
  </si>
  <si>
    <t>In-103</t>
  </si>
  <si>
    <t>In-104</t>
  </si>
  <si>
    <t>In-105</t>
  </si>
  <si>
    <t>In-106</t>
  </si>
  <si>
    <t>In-107</t>
  </si>
  <si>
    <t>In-108</t>
  </si>
  <si>
    <t>In-109</t>
  </si>
  <si>
    <t>In-110</t>
  </si>
  <si>
    <t>In-111</t>
  </si>
  <si>
    <t>In-112</t>
  </si>
  <si>
    <t>In-113</t>
  </si>
  <si>
    <t>In-114</t>
  </si>
  <si>
    <t>In-115</t>
  </si>
  <si>
    <t>In-116</t>
  </si>
  <si>
    <t>In-117</t>
  </si>
  <si>
    <t>In-118</t>
  </si>
  <si>
    <t>In-119</t>
  </si>
  <si>
    <t>In-120</t>
  </si>
  <si>
    <t>In-121</t>
  </si>
  <si>
    <t>In-122</t>
  </si>
  <si>
    <t>In-123</t>
  </si>
  <si>
    <t>In-124</t>
  </si>
  <si>
    <t>In-125</t>
  </si>
  <si>
    <t>In-126</t>
  </si>
  <si>
    <t>In-127</t>
  </si>
  <si>
    <t>In-128</t>
  </si>
  <si>
    <t>In-129</t>
  </si>
  <si>
    <t>In-130</t>
  </si>
  <si>
    <t>In-131</t>
  </si>
  <si>
    <t>In-132</t>
  </si>
  <si>
    <t>In-99</t>
  </si>
  <si>
    <t>Ir-0</t>
  </si>
  <si>
    <t>Ir-166</t>
  </si>
  <si>
    <t>Ir-167</t>
  </si>
  <si>
    <t>Ir-168</t>
  </si>
  <si>
    <t>Ir-169</t>
  </si>
  <si>
    <t>Ir-170</t>
  </si>
  <si>
    <t>Ir-171</t>
  </si>
  <si>
    <t>Ir-172</t>
  </si>
  <si>
    <t>Ir-173</t>
  </si>
  <si>
    <t>Ir-174</t>
  </si>
  <si>
    <t>Ir-175</t>
  </si>
  <si>
    <t>Ir-176</t>
  </si>
  <si>
    <t>Ir-177</t>
  </si>
  <si>
    <t>Ir-178</t>
  </si>
  <si>
    <t>Ir-179</t>
  </si>
  <si>
    <t>Ir-180</t>
  </si>
  <si>
    <t>Ir-181</t>
  </si>
  <si>
    <t>Ir-182</t>
  </si>
  <si>
    <t>Ir-183</t>
  </si>
  <si>
    <t>Ir-184</t>
  </si>
  <si>
    <t>Ir-185</t>
  </si>
  <si>
    <t>Ir-186</t>
  </si>
  <si>
    <t>Ir-187</t>
  </si>
  <si>
    <t>Ir-188</t>
  </si>
  <si>
    <t>Ir-189</t>
  </si>
  <si>
    <t>Ir-190</t>
  </si>
  <si>
    <t>Ir-191</t>
  </si>
  <si>
    <t>Ir-192</t>
  </si>
  <si>
    <t>Ir-193</t>
  </si>
  <si>
    <t>Ir-194</t>
  </si>
  <si>
    <t>Ir-195</t>
  </si>
  <si>
    <t>Ir-196</t>
  </si>
  <si>
    <t>Ir-197</t>
  </si>
  <si>
    <t>Ir-198</t>
  </si>
  <si>
    <t>K-0</t>
  </si>
  <si>
    <t>K-32</t>
  </si>
  <si>
    <t>K-33</t>
  </si>
  <si>
    <t>K-34</t>
  </si>
  <si>
    <t>K-35</t>
  </si>
  <si>
    <t>K-36</t>
  </si>
  <si>
    <t>K-37</t>
  </si>
  <si>
    <t>K-38</t>
  </si>
  <si>
    <t>K-39</t>
  </si>
  <si>
    <t>K-40</t>
  </si>
  <si>
    <t>K-41</t>
  </si>
  <si>
    <t>K-42</t>
  </si>
  <si>
    <t>K-43</t>
  </si>
  <si>
    <t>K-44</t>
  </si>
  <si>
    <t>K-45</t>
  </si>
  <si>
    <t>K-46</t>
  </si>
  <si>
    <t>K-47</t>
  </si>
  <si>
    <t>K-48</t>
  </si>
  <si>
    <t>K-49</t>
  </si>
  <si>
    <t>K-50</t>
  </si>
  <si>
    <t>Kr-0</t>
  </si>
  <si>
    <t>Kr-70</t>
  </si>
  <si>
    <t>Kr-71</t>
  </si>
  <si>
    <t>Kr-72</t>
  </si>
  <si>
    <t>Kr-73</t>
  </si>
  <si>
    <t>Kr-74</t>
  </si>
  <si>
    <t>Kr-75</t>
  </si>
  <si>
    <t>Kr-76</t>
  </si>
  <si>
    <t>Kr-77</t>
  </si>
  <si>
    <t>Kr-78</t>
  </si>
  <si>
    <t>Kr-79</t>
  </si>
  <si>
    <t>Kr-80</t>
  </si>
  <si>
    <t>Kr-81</t>
  </si>
  <si>
    <t>Kr-82</t>
  </si>
  <si>
    <t>Kr-83</t>
  </si>
  <si>
    <t>Kr-84</t>
  </si>
  <si>
    <t>Kr-85</t>
  </si>
  <si>
    <t>Kr-86</t>
  </si>
  <si>
    <t>Kr-87</t>
  </si>
  <si>
    <t>Kr-88</t>
  </si>
  <si>
    <t>Kr-89</t>
  </si>
  <si>
    <t>Kr-90</t>
  </si>
  <si>
    <t>Kr-91</t>
  </si>
  <si>
    <t>Kr-92</t>
  </si>
  <si>
    <t>Kr-93</t>
  </si>
  <si>
    <t>Kr-94</t>
  </si>
  <si>
    <t>Kr-95</t>
  </si>
  <si>
    <t>Kr-96</t>
  </si>
  <si>
    <t>La-0</t>
  </si>
  <si>
    <t>La-118</t>
  </si>
  <si>
    <t>La-119</t>
  </si>
  <si>
    <t>La-120</t>
  </si>
  <si>
    <t>La-121</t>
  </si>
  <si>
    <t>La-122</t>
  </si>
  <si>
    <t>La-123</t>
  </si>
  <si>
    <t>La-124</t>
  </si>
  <si>
    <t>La-125</t>
  </si>
  <si>
    <t>La-126</t>
  </si>
  <si>
    <t>La-127</t>
  </si>
  <si>
    <t>La-128</t>
  </si>
  <si>
    <t>La-129</t>
  </si>
  <si>
    <t>La-130</t>
  </si>
  <si>
    <t>La-131</t>
  </si>
  <si>
    <t>La-132</t>
  </si>
  <si>
    <t>La-133</t>
  </si>
  <si>
    <t>La-134</t>
  </si>
  <si>
    <t>La-135</t>
  </si>
  <si>
    <t>La-136</t>
  </si>
  <si>
    <t>La-137</t>
  </si>
  <si>
    <t>La-138</t>
  </si>
  <si>
    <t>La-139</t>
  </si>
  <si>
    <t>La-140</t>
  </si>
  <si>
    <t>La-141</t>
  </si>
  <si>
    <t>La-142</t>
  </si>
  <si>
    <t>La-143</t>
  </si>
  <si>
    <t>La-144</t>
  </si>
  <si>
    <t>La-145</t>
  </si>
  <si>
    <t>La-146</t>
  </si>
  <si>
    <t>La-147</t>
  </si>
  <si>
    <t>La-148</t>
  </si>
  <si>
    <t>La-149</t>
  </si>
  <si>
    <t>La-150</t>
  </si>
  <si>
    <t>La-151</t>
  </si>
  <si>
    <t>Li-0</t>
  </si>
  <si>
    <t>Li-10</t>
  </si>
  <si>
    <t>Li-11</t>
  </si>
  <si>
    <t>Li-4</t>
  </si>
  <si>
    <t>Li-5</t>
  </si>
  <si>
    <t>Li-6</t>
  </si>
  <si>
    <t>Li-7</t>
  </si>
  <si>
    <t>Li-8</t>
  </si>
  <si>
    <t>Li-9</t>
  </si>
  <si>
    <t>Lr-253</t>
  </si>
  <si>
    <t>Lr-254</t>
  </si>
  <si>
    <t>Lr-255</t>
  </si>
  <si>
    <t>Lr-256</t>
  </si>
  <si>
    <t>Lr-257</t>
  </si>
  <si>
    <t>Lr-258</t>
  </si>
  <si>
    <t>Lr-259</t>
  </si>
  <si>
    <t>Lr-260</t>
  </si>
  <si>
    <t>Lr-261</t>
  </si>
  <si>
    <t>Lr-262</t>
  </si>
  <si>
    <t>Lr-263</t>
  </si>
  <si>
    <t>Lr-264</t>
  </si>
  <si>
    <t>Lr-265</t>
  </si>
  <si>
    <t>Lu-0</t>
  </si>
  <si>
    <t>Lu-150</t>
  </si>
  <si>
    <t>Lu-151</t>
  </si>
  <si>
    <t>Lu-152</t>
  </si>
  <si>
    <t>Lu-153</t>
  </si>
  <si>
    <t>Lu-154</t>
  </si>
  <si>
    <t>Lu-155</t>
  </si>
  <si>
    <t>Lu-156</t>
  </si>
  <si>
    <t>Lu-157</t>
  </si>
  <si>
    <t>Lu-158</t>
  </si>
  <si>
    <t>Lu-159</t>
  </si>
  <si>
    <t>Lu-160</t>
  </si>
  <si>
    <t>Lu-161</t>
  </si>
  <si>
    <t>Lu-162</t>
  </si>
  <si>
    <t>Lu-163</t>
  </si>
  <si>
    <t>Lu-164</t>
  </si>
  <si>
    <t>Lu-165</t>
  </si>
  <si>
    <t>Lu-166</t>
  </si>
  <si>
    <t>Lu-167</t>
  </si>
  <si>
    <t>Lu-168</t>
  </si>
  <si>
    <t>Lu-169</t>
  </si>
  <si>
    <t>Lu-170</t>
  </si>
  <si>
    <t>Lu-171</t>
  </si>
  <si>
    <t>Lu-172</t>
  </si>
  <si>
    <t>Lu-173</t>
  </si>
  <si>
    <t>Lu-174</t>
  </si>
  <si>
    <t>Lu-175</t>
  </si>
  <si>
    <t>Lu-176</t>
  </si>
  <si>
    <t>Lu-177</t>
  </si>
  <si>
    <t>Lu-178</t>
  </si>
  <si>
    <t>Lu-179</t>
  </si>
  <si>
    <t>Lu-180</t>
  </si>
  <si>
    <t>Lu-181</t>
  </si>
  <si>
    <t>Md-247</t>
  </si>
  <si>
    <t>Md-248</t>
  </si>
  <si>
    <t>Md-249</t>
  </si>
  <si>
    <t>Md-250</t>
  </si>
  <si>
    <t>Md-251</t>
  </si>
  <si>
    <t>Md-252</t>
  </si>
  <si>
    <t>Md-253</t>
  </si>
  <si>
    <t>Md-254</t>
  </si>
  <si>
    <t>Md-255</t>
  </si>
  <si>
    <t>Md-256</t>
  </si>
  <si>
    <t>Md-257</t>
  </si>
  <si>
    <t>Md-258</t>
  </si>
  <si>
    <t>Md-259</t>
  </si>
  <si>
    <t>Md-260</t>
  </si>
  <si>
    <t>Md-261</t>
  </si>
  <si>
    <t>Mg-0</t>
  </si>
  <si>
    <t>Mg-19</t>
  </si>
  <si>
    <t>Mg-20</t>
  </si>
  <si>
    <t>Mg-21</t>
  </si>
  <si>
    <t>Mg-22</t>
  </si>
  <si>
    <t>Mg-23</t>
  </si>
  <si>
    <t>Mg-24</t>
  </si>
  <si>
    <t>Mg-25</t>
  </si>
  <si>
    <t>Mg-26</t>
  </si>
  <si>
    <t>Mg-27</t>
  </si>
  <si>
    <t>Mg-28</t>
  </si>
  <si>
    <t>Mg-29</t>
  </si>
  <si>
    <t>Mg-30</t>
  </si>
  <si>
    <t>Mg-31</t>
  </si>
  <si>
    <t>Mg-32</t>
  </si>
  <si>
    <t>Mg-33</t>
  </si>
  <si>
    <t>Mg-34</t>
  </si>
  <si>
    <t>Mg-35</t>
  </si>
  <si>
    <t>Mg-36</t>
  </si>
  <si>
    <t>Mn-0</t>
  </si>
  <si>
    <t>Mn-44</t>
  </si>
  <si>
    <t>Mn-45</t>
  </si>
  <si>
    <t>Mn-46</t>
  </si>
  <si>
    <t>Mn-47</t>
  </si>
  <si>
    <t>Mn-48</t>
  </si>
  <si>
    <t>Mn-49</t>
  </si>
  <si>
    <t>Mn-50</t>
  </si>
  <si>
    <t>Mn-51</t>
  </si>
  <si>
    <t>Mn-52</t>
  </si>
  <si>
    <t>Mn-53</t>
  </si>
  <si>
    <t>Mn-54</t>
  </si>
  <si>
    <t>Mn-55</t>
  </si>
  <si>
    <t>Mn-56</t>
  </si>
  <si>
    <t>Mn-57</t>
  </si>
  <si>
    <t>Mn-58</t>
  </si>
  <si>
    <t>Mn-59</t>
  </si>
  <si>
    <t>Mn-60</t>
  </si>
  <si>
    <t>Mn-61</t>
  </si>
  <si>
    <t>Mn-62</t>
  </si>
  <si>
    <t>Mn-63</t>
  </si>
  <si>
    <t>Mn-64</t>
  </si>
  <si>
    <t>Mn-65</t>
  </si>
  <si>
    <t>Mo-0</t>
  </si>
  <si>
    <t>Mo-100</t>
  </si>
  <si>
    <t>Mo-101</t>
  </si>
  <si>
    <t>Mo-102</t>
  </si>
  <si>
    <t>Mo-103</t>
  </si>
  <si>
    <t>Mo-104</t>
  </si>
  <si>
    <t>Mo-105</t>
  </si>
  <si>
    <t>Mo-106</t>
  </si>
  <si>
    <t>Mo-107</t>
  </si>
  <si>
    <t>Mo-108</t>
  </si>
  <si>
    <t>Mo-109</t>
  </si>
  <si>
    <t>Mo-110</t>
  </si>
  <si>
    <t>Mo-84</t>
  </si>
  <si>
    <t>Mo-85</t>
  </si>
  <si>
    <t>Mo-86</t>
  </si>
  <si>
    <t>Mo-87</t>
  </si>
  <si>
    <t>Mo-88</t>
  </si>
  <si>
    <t>Mo-89</t>
  </si>
  <si>
    <t>Mo-90</t>
  </si>
  <si>
    <t>Mo-91</t>
  </si>
  <si>
    <t>Mo-92</t>
  </si>
  <si>
    <t>Mo-93</t>
  </si>
  <si>
    <t>Mo-94</t>
  </si>
  <si>
    <t>Mo-95</t>
  </si>
  <si>
    <t>Mo-96</t>
  </si>
  <si>
    <t>Mo-97</t>
  </si>
  <si>
    <t>Mo-98</t>
  </si>
  <si>
    <t>Mo-99</t>
  </si>
  <si>
    <t>Mt-266</t>
  </si>
  <si>
    <t>N-0</t>
  </si>
  <si>
    <t>n-1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</si>
  <si>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</si>
  <si>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</si>
  <si>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</si>
  <si>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</si>
  <si>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</si>
  <si>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</si>
  <si>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</si>
  <si>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</si>
  <si>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</si>
  <si>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</si>
  <si>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</si>
  <si>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</si>
  <si>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</si>
  <si>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N-23</t>
  </si>
  <si>
    <t>N-24</t>
  </si>
  <si>
    <t>Na-0</t>
  </si>
  <si>
    <t>Na-17</t>
  </si>
  <si>
    <t>Na-18</t>
  </si>
  <si>
    <t>Na-19</t>
  </si>
  <si>
    <t>Na-20</t>
  </si>
  <si>
    <t>Na-21</t>
  </si>
  <si>
    <t>Na-22</t>
  </si>
  <si>
    <t>Na-23</t>
  </si>
  <si>
    <t>Na-24</t>
  </si>
  <si>
    <t>Na-25</t>
  </si>
  <si>
    <t>Na-26</t>
  </si>
  <si>
    <t>Na-27</t>
  </si>
  <si>
    <t>Na-28</t>
  </si>
  <si>
    <t>Na-29</t>
  </si>
  <si>
    <t>Na-30</t>
  </si>
  <si>
    <t>Na-31</t>
  </si>
  <si>
    <t>Na-32</t>
  </si>
  <si>
    <t>Na-33</t>
  </si>
  <si>
    <t>Na-34</t>
  </si>
  <si>
    <t>Na-35</t>
  </si>
  <si>
    <t>Nb-0</t>
  </si>
  <si>
    <t>Nb-100</t>
  </si>
  <si>
    <t>Nb-101</t>
  </si>
  <si>
    <t>Nb-102</t>
  </si>
  <si>
    <t>Nb-103</t>
  </si>
  <si>
    <t>Nb-104</t>
  </si>
  <si>
    <t>Nb-105</t>
  </si>
  <si>
    <t>Nb-106</t>
  </si>
  <si>
    <t>Nb-107</t>
  </si>
  <si>
    <t>Nb-108</t>
  </si>
  <si>
    <t>Nb-82</t>
  </si>
  <si>
    <t>Nb-83</t>
  </si>
  <si>
    <t>Nb-84</t>
  </si>
  <si>
    <t>Nb-85</t>
  </si>
  <si>
    <t>Nb-86</t>
  </si>
  <si>
    <t>Nb-87</t>
  </si>
  <si>
    <t>Nb-88</t>
  </si>
  <si>
    <t>Nb-89</t>
  </si>
  <si>
    <t>Nb-90</t>
  </si>
  <si>
    <t>Nb-91</t>
  </si>
  <si>
    <t>Nb-92</t>
  </si>
  <si>
    <t>Nb-93</t>
  </si>
  <si>
    <t>Nb-94</t>
  </si>
  <si>
    <t>Nb-95</t>
  </si>
  <si>
    <t>Nb-96</t>
  </si>
  <si>
    <t>Nb-97</t>
  </si>
  <si>
    <t>Nb-98</t>
  </si>
  <si>
    <t>Nb-99</t>
  </si>
  <si>
    <t>Nd-0</t>
  </si>
  <si>
    <t>Nd-127</t>
  </si>
  <si>
    <t>Nd-128</t>
  </si>
  <si>
    <t>Nd-129</t>
  </si>
  <si>
    <t>Nd-130</t>
  </si>
  <si>
    <t>Nd-131</t>
  </si>
  <si>
    <t>Nd-132</t>
  </si>
  <si>
    <t>Nd-133</t>
  </si>
  <si>
    <t>Nd-134</t>
  </si>
  <si>
    <t>Nd-135</t>
  </si>
  <si>
    <t>Nd-136</t>
  </si>
  <si>
    <t>Nd-137</t>
  </si>
  <si>
    <t>Nd-138</t>
  </si>
  <si>
    <t>Nd-139</t>
  </si>
  <si>
    <t>Nd-140</t>
  </si>
  <si>
    <t>Nd-141</t>
  </si>
  <si>
    <t>Nd-142</t>
  </si>
  <si>
    <t>Nd-143</t>
  </si>
  <si>
    <t>Nd-144</t>
  </si>
  <si>
    <t>Nd-145</t>
  </si>
  <si>
    <t>Nd-146</t>
  </si>
  <si>
    <t>Nd-147</t>
  </si>
  <si>
    <t>Nd-148</t>
  </si>
  <si>
    <t>Nd-149</t>
  </si>
  <si>
    <t>Nd-150</t>
  </si>
  <si>
    <t>Nd-151</t>
  </si>
  <si>
    <t>Nd-152</t>
  </si>
  <si>
    <t>Nd-153</t>
  </si>
  <si>
    <t>Nd-154</t>
  </si>
  <si>
    <t>Nd-155</t>
  </si>
  <si>
    <t>Nd-156</t>
  </si>
  <si>
    <t>Nd-157</t>
  </si>
  <si>
    <t>Ne-0</t>
  </si>
  <si>
    <t>Ne-15</t>
  </si>
  <si>
    <t>Ne-16</t>
  </si>
  <si>
    <t>Ne-17</t>
  </si>
  <si>
    <t>Ne-18</t>
  </si>
  <si>
    <t>Ne-19</t>
  </si>
  <si>
    <t>Ne-20</t>
  </si>
  <si>
    <t>Ne-21</t>
  </si>
  <si>
    <t>Ne-22</t>
  </si>
  <si>
    <t>Ne-23</t>
  </si>
  <si>
    <t>Ne-24</t>
  </si>
  <si>
    <t>Ne-25</t>
  </si>
  <si>
    <t>Ne-26</t>
  </si>
  <si>
    <t>Ne-27</t>
  </si>
  <si>
    <t>Ne-28</t>
  </si>
  <si>
    <t>Ne-29</t>
  </si>
  <si>
    <t>Ne-30</t>
  </si>
  <si>
    <t>Ne-31</t>
  </si>
  <si>
    <t>Ne-32</t>
  </si>
  <si>
    <t>Nh-259</t>
  </si>
  <si>
    <t>Nh-260</t>
  </si>
  <si>
    <t>Nh-261</t>
  </si>
  <si>
    <t>Nh-262</t>
  </si>
  <si>
    <t>Nh-263</t>
  </si>
  <si>
    <t>Nh-264</t>
  </si>
  <si>
    <t>Nh-265</t>
  </si>
  <si>
    <t>Nh-266</t>
  </si>
  <si>
    <t>Ni-0</t>
  </si>
  <si>
    <t>Ni-50</t>
  </si>
  <si>
    <t>Ni-51</t>
  </si>
  <si>
    <t>Ni-52</t>
  </si>
  <si>
    <t>Ni-53</t>
  </si>
  <si>
    <t>Ni-54</t>
  </si>
  <si>
    <t>Ni-55</t>
  </si>
  <si>
    <t>Ni-56</t>
  </si>
  <si>
    <t>Ni-57</t>
  </si>
  <si>
    <t>Ni-58</t>
  </si>
  <si>
    <t>Ni-59</t>
  </si>
  <si>
    <t>Ni-60</t>
  </si>
  <si>
    <t>Ni-61</t>
  </si>
  <si>
    <t>Ni-62</t>
  </si>
  <si>
    <t>Ni-63</t>
  </si>
  <si>
    <t>Ni-64</t>
  </si>
  <si>
    <t>Ni-65</t>
  </si>
  <si>
    <t>Ni-66</t>
  </si>
  <si>
    <t>Ni-67</t>
  </si>
  <si>
    <t>Ni-68</t>
  </si>
  <si>
    <t>Ni-69</t>
  </si>
  <si>
    <t>Ni-70</t>
  </si>
  <si>
    <t>Ni-71</t>
  </si>
  <si>
    <t>Ni-72</t>
  </si>
  <si>
    <t>Ni-73</t>
  </si>
  <si>
    <t>Ni-74</t>
  </si>
  <si>
    <t>Ni-75</t>
  </si>
  <si>
    <t>Ni-76</t>
  </si>
  <si>
    <t>Ni-77</t>
  </si>
  <si>
    <t>Ni-78</t>
  </si>
  <si>
    <t>No-251</t>
  </si>
  <si>
    <t>No-252</t>
  </si>
  <si>
    <t>No-253</t>
  </si>
  <si>
    <t>No-254</t>
  </si>
  <si>
    <t>No-255</t>
  </si>
  <si>
    <t>No-256</t>
  </si>
  <si>
    <t>No-257</t>
  </si>
  <si>
    <t>No-258</t>
  </si>
  <si>
    <t>No-259</t>
  </si>
  <si>
    <t>No-260</t>
  </si>
  <si>
    <t>No-261</t>
  </si>
  <si>
    <t>No-262</t>
  </si>
  <si>
    <t>No-263</t>
  </si>
  <si>
    <t>Np-225</t>
  </si>
  <si>
    <t>Np-226</t>
  </si>
  <si>
    <t>Np-227</t>
  </si>
  <si>
    <t>Np-228</t>
  </si>
  <si>
    <t>Np-229</t>
  </si>
  <si>
    <t>Np-230</t>
  </si>
  <si>
    <t>Np-231</t>
  </si>
  <si>
    <t>Np-232</t>
  </si>
  <si>
    <t>Np-233</t>
  </si>
  <si>
    <t>Np-234</t>
  </si>
  <si>
    <t>Np-235</t>
  </si>
  <si>
    <t>Np-236</t>
  </si>
  <si>
    <t>Np-237</t>
  </si>
  <si>
    <t>Np-238</t>
  </si>
  <si>
    <t>Np-239</t>
  </si>
  <si>
    <t>Np-240</t>
  </si>
  <si>
    <t>Np-241</t>
  </si>
  <si>
    <t>Np-242</t>
  </si>
  <si>
    <t>Np-243</t>
  </si>
  <si>
    <t>O-0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</si>
  <si>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</si>
  <si>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</si>
  <si>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</si>
  <si>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</si>
  <si>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</si>
  <si>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</si>
  <si>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</si>
  <si>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</si>
  <si>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</si>
  <si>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</si>
  <si>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</si>
  <si>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O-23</t>
  </si>
  <si>
    <t>O-24</t>
  </si>
  <si>
    <t>O-25</t>
  </si>
  <si>
    <t>O-26</t>
  </si>
  <si>
    <t>Os-0</t>
  </si>
  <si>
    <t>Os-162</t>
  </si>
  <si>
    <t>Os-163</t>
  </si>
  <si>
    <t>Os-164</t>
  </si>
  <si>
    <t>Os-165</t>
  </si>
  <si>
    <t>Os-166</t>
  </si>
  <si>
    <t>Os-167</t>
  </si>
  <si>
    <t>Os-168</t>
  </si>
  <si>
    <t>Os-169</t>
  </si>
  <si>
    <t>Os-170</t>
  </si>
  <si>
    <t>Os-171</t>
  </si>
  <si>
    <t>Os-172</t>
  </si>
  <si>
    <t>Os-173</t>
  </si>
  <si>
    <t>Os-174</t>
  </si>
  <si>
    <t>Os-175</t>
  </si>
  <si>
    <t>Os-176</t>
  </si>
  <si>
    <t>Os-177</t>
  </si>
  <si>
    <t>Os-178</t>
  </si>
  <si>
    <t>Os-179</t>
  </si>
  <si>
    <t>Os-180</t>
  </si>
  <si>
    <t>Os-181</t>
  </si>
  <si>
    <t>Os-182</t>
  </si>
  <si>
    <t>Os-183</t>
  </si>
  <si>
    <t>Os-184</t>
  </si>
  <si>
    <t>Os-185</t>
  </si>
  <si>
    <t>Os-186</t>
  </si>
  <si>
    <t>Os-187</t>
  </si>
  <si>
    <t>Os-188</t>
  </si>
  <si>
    <t>Os-189</t>
  </si>
  <si>
    <t>Os-190</t>
  </si>
  <si>
    <t>Os-191</t>
  </si>
  <si>
    <t>Os-192</t>
  </si>
  <si>
    <t>Os-193</t>
  </si>
  <si>
    <t>Os-194</t>
  </si>
  <si>
    <t>Os-195</t>
  </si>
  <si>
    <t>Os-196</t>
  </si>
  <si>
    <t>P-0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</si>
  <si>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</si>
  <si>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</si>
  <si>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</si>
  <si>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</si>
  <si>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</si>
  <si>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</si>
  <si>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</si>
  <si>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</si>
  <si>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</si>
  <si>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P-33</t>
  </si>
  <si>
    <t>P-34</t>
  </si>
  <si>
    <t>P-35</t>
  </si>
  <si>
    <t>P-36</t>
  </si>
  <si>
    <t>P-37</t>
  </si>
  <si>
    <t>P-38</t>
  </si>
  <si>
    <t>P-39</t>
  </si>
  <si>
    <t>P-40</t>
  </si>
  <si>
    <t>P-41</t>
  </si>
  <si>
    <t>P-42</t>
  </si>
  <si>
    <t>P-43</t>
  </si>
  <si>
    <t>Pa-0</t>
  </si>
  <si>
    <t>Pa-215</t>
  </si>
  <si>
    <t>Pa-216</t>
  </si>
  <si>
    <t>Pa-217</t>
  </si>
  <si>
    <t>Pa-218</t>
  </si>
  <si>
    <t>Pa-219</t>
  </si>
  <si>
    <t>Pa-220</t>
  </si>
  <si>
    <t>Pa-221</t>
  </si>
  <si>
    <t>Pa-222</t>
  </si>
  <si>
    <t>Pa-223</t>
  </si>
  <si>
    <t>Pa-224</t>
  </si>
  <si>
    <t>Pa-225</t>
  </si>
  <si>
    <t>Pa-226</t>
  </si>
  <si>
    <t>Pa-227</t>
  </si>
  <si>
    <t>Pa-228</t>
  </si>
  <si>
    <t>Pa-229</t>
  </si>
  <si>
    <t>Pa-230</t>
  </si>
  <si>
    <t>Pa-231</t>
  </si>
  <si>
    <t>Pa-232</t>
  </si>
  <si>
    <t>Pa-233</t>
  </si>
  <si>
    <t>Pa-234</t>
  </si>
  <si>
    <t>Pa-235</t>
  </si>
  <si>
    <t>Pa-236</t>
  </si>
  <si>
    <t>Pa-237</t>
  </si>
  <si>
    <t>Pa-238</t>
  </si>
  <si>
    <t>Pb-0</t>
  </si>
  <si>
    <t>Pb-178</t>
  </si>
  <si>
    <t>Pb-179</t>
  </si>
  <si>
    <t>Pb-180</t>
  </si>
  <si>
    <t>Pb-181</t>
  </si>
  <si>
    <t>Pb-182</t>
  </si>
  <si>
    <t>Pb-183</t>
  </si>
  <si>
    <t>Pb-184</t>
  </si>
  <si>
    <t>Pb-185</t>
  </si>
  <si>
    <t>Pb-186</t>
  </si>
  <si>
    <t>Pb-187</t>
  </si>
  <si>
    <t>Pb-188</t>
  </si>
  <si>
    <t>Pb-189</t>
  </si>
  <si>
    <t>Pb-190</t>
  </si>
  <si>
    <t>Pb-191</t>
  </si>
  <si>
    <t>Pb-192</t>
  </si>
  <si>
    <t>Pb-193</t>
  </si>
  <si>
    <t>Pb-194</t>
  </si>
  <si>
    <t>Pb-195</t>
  </si>
  <si>
    <t>Pb-196</t>
  </si>
  <si>
    <t>Pb-197</t>
  </si>
  <si>
    <t>Pb-198</t>
  </si>
  <si>
    <t>Pb-199</t>
  </si>
  <si>
    <t>Pb-200</t>
  </si>
  <si>
    <t>Pb-201</t>
  </si>
  <si>
    <t>Pb-202</t>
  </si>
  <si>
    <t>Pb-203</t>
  </si>
  <si>
    <t>Pb-204</t>
  </si>
  <si>
    <t>Pb-205</t>
  </si>
  <si>
    <t>Pb-206</t>
  </si>
  <si>
    <t>Pb-207</t>
  </si>
  <si>
    <t>Pb-208</t>
  </si>
  <si>
    <t>Pb-209</t>
  </si>
  <si>
    <t>Pb-210</t>
  </si>
  <si>
    <t>Pb-211</t>
  </si>
  <si>
    <t>Pb-212</t>
  </si>
  <si>
    <t>Pb-213</t>
  </si>
  <si>
    <t>Pb-214</t>
  </si>
  <si>
    <t>Pd-0</t>
  </si>
  <si>
    <t>Pd-100</t>
  </si>
  <si>
    <t>Pd-101</t>
  </si>
  <si>
    <t>Pd-102</t>
  </si>
  <si>
    <t>Pd-103</t>
  </si>
  <si>
    <t>Pd-104</t>
  </si>
  <si>
    <t>Pd-105</t>
  </si>
  <si>
    <t>Pd-106</t>
  </si>
  <si>
    <t>Pd-107</t>
  </si>
  <si>
    <t>Pd-108</t>
  </si>
  <si>
    <t>Pd-109</t>
  </si>
  <si>
    <t>Pd-110</t>
  </si>
  <si>
    <t>Pd-111</t>
  </si>
  <si>
    <t>Pd-112</t>
  </si>
  <si>
    <t>Pd-113</t>
  </si>
  <si>
    <t>Pd-114</t>
  </si>
  <si>
    <t>Pd-115</t>
  </si>
  <si>
    <t>Pd-116</t>
  </si>
  <si>
    <t>Pd-117</t>
  </si>
  <si>
    <t>Pd-118</t>
  </si>
  <si>
    <t>Pd-119</t>
  </si>
  <si>
    <t>Pd-120</t>
  </si>
  <si>
    <t>Pd-121</t>
  </si>
  <si>
    <t>Pd-94</t>
  </si>
  <si>
    <t>Pd-95</t>
  </si>
  <si>
    <t>Pd-96</t>
  </si>
  <si>
    <t>Pd-97</t>
  </si>
  <si>
    <t>Pd-98</t>
  </si>
  <si>
    <t>Pd-99</t>
  </si>
  <si>
    <t>Pm-0</t>
  </si>
  <si>
    <t>Pm-130</t>
  </si>
  <si>
    <t>Pm-131</t>
  </si>
  <si>
    <t>Pm-132</t>
  </si>
  <si>
    <t>Pm-133</t>
  </si>
  <si>
    <t>Pm-134</t>
  </si>
  <si>
    <t>Pm-135</t>
  </si>
  <si>
    <t>Pm-136</t>
  </si>
  <si>
    <t>Pm-137</t>
  </si>
  <si>
    <t>Pm-138</t>
  </si>
  <si>
    <t>Pm-139</t>
  </si>
  <si>
    <t>Pm-140</t>
  </si>
  <si>
    <t>Pm-141</t>
  </si>
  <si>
    <t>Pm-142</t>
  </si>
  <si>
    <t>Pm-143</t>
  </si>
  <si>
    <t>Pm-144</t>
  </si>
  <si>
    <t>Pm-145</t>
  </si>
  <si>
    <t>Pm-146</t>
  </si>
  <si>
    <t>Pm-147</t>
  </si>
  <si>
    <t>Pm-148</t>
  </si>
  <si>
    <t>Pm-149</t>
  </si>
  <si>
    <t>Pm-150</t>
  </si>
  <si>
    <t>Pm-151</t>
  </si>
  <si>
    <t>Pm-152</t>
  </si>
  <si>
    <t>Pm-153</t>
  </si>
  <si>
    <t>Pm-154</t>
  </si>
  <si>
    <t>Pm-155</t>
  </si>
  <si>
    <t>Pm-156</t>
  </si>
  <si>
    <t>Pm-157</t>
  </si>
  <si>
    <t>Pm-158</t>
  </si>
  <si>
    <t>Pm-159</t>
  </si>
  <si>
    <t>Po-0</t>
  </si>
  <si>
    <t>Po-190</t>
  </si>
  <si>
    <t>Po-191</t>
  </si>
  <si>
    <t>Po-192</t>
  </si>
  <si>
    <t>Po-193</t>
  </si>
  <si>
    <t>Po-194</t>
  </si>
  <si>
    <t>Po-195</t>
  </si>
  <si>
    <t>Po-196</t>
  </si>
  <si>
    <t>Po-197</t>
  </si>
  <si>
    <t>Po-198</t>
  </si>
  <si>
    <t>Po-199</t>
  </si>
  <si>
    <t>Po-200</t>
  </si>
  <si>
    <t>Po-201</t>
  </si>
  <si>
    <t>Po-202</t>
  </si>
  <si>
    <t>Po-203</t>
  </si>
  <si>
    <t>Po-204</t>
  </si>
  <si>
    <t>Po-205</t>
  </si>
  <si>
    <t>Po-206</t>
  </si>
  <si>
    <t>Po-207</t>
  </si>
  <si>
    <t>Po-208</t>
  </si>
  <si>
    <t>Po-209</t>
  </si>
  <si>
    <t>Po-210</t>
  </si>
  <si>
    <t>Po-211</t>
  </si>
  <si>
    <t>Po-212</t>
  </si>
  <si>
    <t>Po-213</t>
  </si>
  <si>
    <t>Po-214</t>
  </si>
  <si>
    <t>Po-215</t>
  </si>
  <si>
    <t>Po-216</t>
  </si>
  <si>
    <t>Po-217</t>
  </si>
  <si>
    <t>Po-218</t>
  </si>
  <si>
    <t>Pr-0</t>
  </si>
  <si>
    <t>Pr-124</t>
  </si>
  <si>
    <t>Pr-125</t>
  </si>
  <si>
    <t>Pr-126</t>
  </si>
  <si>
    <t>Pr-127</t>
  </si>
  <si>
    <t>Pr-128</t>
  </si>
  <si>
    <t>Pr-129</t>
  </si>
  <si>
    <t>Pr-130</t>
  </si>
  <si>
    <t>Pr-131</t>
  </si>
  <si>
    <t>Pr-132</t>
  </si>
  <si>
    <t>Pr-133</t>
  </si>
  <si>
    <t>Pr-134</t>
  </si>
  <si>
    <t>Pr-135</t>
  </si>
  <si>
    <t>Pr-136</t>
  </si>
  <si>
    <t>Pr-137</t>
  </si>
  <si>
    <t>Pr-138</t>
  </si>
  <si>
    <t>Pr-139</t>
  </si>
  <si>
    <t>Pr-140</t>
  </si>
  <si>
    <t>Pr-141</t>
  </si>
  <si>
    <t>Pr-142</t>
  </si>
  <si>
    <t>Pr-143</t>
  </si>
  <si>
    <t>Pr-144</t>
  </si>
  <si>
    <t>Pr-145</t>
  </si>
  <si>
    <t>Pr-146</t>
  </si>
  <si>
    <t>Pr-147</t>
  </si>
  <si>
    <t>Pr-148</t>
  </si>
  <si>
    <t>Pr-149</t>
  </si>
  <si>
    <t>Pr-150</t>
  </si>
  <si>
    <t>Pr-151</t>
  </si>
  <si>
    <t>Pr-152</t>
  </si>
  <si>
    <t>Pr-153</t>
  </si>
  <si>
    <t>Pr-154</t>
  </si>
  <si>
    <t>Pr-155</t>
  </si>
  <si>
    <t>Pt-0</t>
  </si>
  <si>
    <t>Pt-168</t>
  </si>
  <si>
    <t>Pt-169</t>
  </si>
  <si>
    <t>Pt-170</t>
  </si>
  <si>
    <t>Pt-171</t>
  </si>
  <si>
    <t>Pt-172</t>
  </si>
  <si>
    <t>Pt-173</t>
  </si>
  <si>
    <t>Pt-174</t>
  </si>
  <si>
    <t>Pt-175</t>
  </si>
  <si>
    <t>Pt-176</t>
  </si>
  <si>
    <t>Pt-177</t>
  </si>
  <si>
    <t>Pt-178</t>
  </si>
  <si>
    <t>Pt-179</t>
  </si>
  <si>
    <t>Pt-180</t>
  </si>
  <si>
    <t>Pt-181</t>
  </si>
  <si>
    <t>Pt-182</t>
  </si>
  <si>
    <t>Pt-183</t>
  </si>
  <si>
    <t>Pt-184</t>
  </si>
  <si>
    <t>Pt-185</t>
  </si>
  <si>
    <t>Pt-186</t>
  </si>
  <si>
    <t>Pt-187</t>
  </si>
  <si>
    <t>Pt-188</t>
  </si>
  <si>
    <t>Pt-189</t>
  </si>
  <si>
    <t>Pt-190</t>
  </si>
  <si>
    <t>Pt-191</t>
  </si>
  <si>
    <t>Pt-192</t>
  </si>
  <si>
    <t>Pt-193</t>
  </si>
  <si>
    <t>Pt-194</t>
  </si>
  <si>
    <t>Pt-195</t>
  </si>
  <si>
    <t>Pt-196</t>
  </si>
  <si>
    <t>Pt-197</t>
  </si>
  <si>
    <t>Pt-198</t>
  </si>
  <si>
    <t>Pt-199</t>
  </si>
  <si>
    <t>Pt-200</t>
  </si>
  <si>
    <t>Pt-201</t>
  </si>
  <si>
    <t>Pu-230</t>
  </si>
  <si>
    <t>Pu-231</t>
  </si>
  <si>
    <t>Pu-232</t>
  </si>
  <si>
    <t>Pu-233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</si>
  <si>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</si>
  <si>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</si>
  <si>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</si>
  <si>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</si>
  <si>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</si>
  <si>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</si>
  <si>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</si>
  <si>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</si>
  <si>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</si>
  <si>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</si>
  <si>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</si>
  <si>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</si>
  <si>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</si>
  <si>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Ra-0</t>
  </si>
  <si>
    <t>Ra-204</t>
  </si>
  <si>
    <t>Ra-205</t>
  </si>
  <si>
    <t>Ra-206</t>
  </si>
  <si>
    <t>Ra-207</t>
  </si>
  <si>
    <t>Ra-208</t>
  </si>
  <si>
    <t>Ra-209</t>
  </si>
  <si>
    <t>Ra-210</t>
  </si>
  <si>
    <t>Ra-211</t>
  </si>
  <si>
    <t>Ra-212</t>
  </si>
  <si>
    <t>Ra-213</t>
  </si>
  <si>
    <t>Ra-214</t>
  </si>
  <si>
    <t>Ra-215</t>
  </si>
  <si>
    <t>Ra-216</t>
  </si>
  <si>
    <t>Ra-217</t>
  </si>
  <si>
    <t>Ra-218</t>
  </si>
  <si>
    <t>Ra-219</t>
  </si>
  <si>
    <t>Ra-220</t>
  </si>
  <si>
    <t>Ra-221</t>
  </si>
  <si>
    <t>Ra-222</t>
  </si>
  <si>
    <t>Ra-223</t>
  </si>
  <si>
    <t>Ra-224</t>
  </si>
  <si>
    <t>Ra-225</t>
  </si>
  <si>
    <t>Ra-226</t>
  </si>
  <si>
    <t>Ra-227</t>
  </si>
  <si>
    <t>Ra-228</t>
  </si>
  <si>
    <t>Ra-229</t>
  </si>
  <si>
    <t>Ra-230</t>
  </si>
  <si>
    <t>Rb-0</t>
  </si>
  <si>
    <t>Rb-100</t>
  </si>
  <si>
    <t>Rb-101</t>
  </si>
  <si>
    <t>Rb-72</t>
  </si>
  <si>
    <t>Rb-73</t>
  </si>
  <si>
    <t>Rb-74</t>
  </si>
  <si>
    <t>Rb-75</t>
  </si>
  <si>
    <t>Rb-76</t>
  </si>
  <si>
    <t>Rb-77</t>
  </si>
  <si>
    <t>Rb-78</t>
  </si>
  <si>
    <t>Rb-79</t>
  </si>
  <si>
    <t>Rb-80</t>
  </si>
  <si>
    <t>Rb-81</t>
  </si>
  <si>
    <t>Rb-82</t>
  </si>
  <si>
    <t>Rb-83</t>
  </si>
  <si>
    <t>Rb-84</t>
  </si>
  <si>
    <t>Rb-85</t>
  </si>
  <si>
    <t>Rb-86</t>
  </si>
  <si>
    <t>Rb-87</t>
  </si>
  <si>
    <t>Rb-88</t>
  </si>
  <si>
    <t>Rb-89</t>
  </si>
  <si>
    <t>Rb-90</t>
  </si>
  <si>
    <t>Rb-91</t>
  </si>
  <si>
    <t>Rb-92</t>
  </si>
  <si>
    <t>Rb-93</t>
  </si>
  <si>
    <t>Rb-94</t>
  </si>
  <si>
    <t>Rb-95</t>
  </si>
  <si>
    <t>Rb-96</t>
  </si>
  <si>
    <t>Rb-97</t>
  </si>
  <si>
    <t>Rb-98</t>
  </si>
  <si>
    <t>Rb-99</t>
  </si>
  <si>
    <t>Re-160</t>
  </si>
  <si>
    <t>Re-161</t>
  </si>
  <si>
    <t>Re-162</t>
  </si>
  <si>
    <t>Re-163</t>
  </si>
  <si>
    <t>Re-164</t>
  </si>
  <si>
    <t>Re-165</t>
  </si>
  <si>
    <t>Re-166</t>
  </si>
  <si>
    <t>Re-167</t>
  </si>
  <si>
    <t>Re-168</t>
  </si>
  <si>
    <t>Re-169</t>
  </si>
  <si>
    <t>Re-170</t>
  </si>
  <si>
    <t>Re-171</t>
  </si>
  <si>
    <t>Re-172</t>
  </si>
  <si>
    <t>Re-173</t>
  </si>
  <si>
    <t>Re-174</t>
  </si>
  <si>
    <t>Re-175</t>
  </si>
  <si>
    <t>Re-176</t>
  </si>
  <si>
    <t>Re-177</t>
  </si>
  <si>
    <t>Re-178</t>
  </si>
  <si>
    <t>Re-179</t>
  </si>
  <si>
    <t>Re-180</t>
  </si>
  <si>
    <t>Re-181</t>
  </si>
  <si>
    <t>Re-182</t>
  </si>
  <si>
    <t>Re-183</t>
  </si>
  <si>
    <t>Re-184</t>
  </si>
  <si>
    <t>Re-185</t>
  </si>
  <si>
    <t>Re-186</t>
  </si>
  <si>
    <t>Re-187</t>
  </si>
  <si>
    <t>Re-188</t>
  </si>
  <si>
    <t>Re-189</t>
  </si>
  <si>
    <t>Re-190</t>
  </si>
  <si>
    <t>Re-191</t>
  </si>
  <si>
    <t>Re-192</t>
  </si>
  <si>
    <t>Re-193</t>
  </si>
  <si>
    <t>Rf-255</t>
  </si>
  <si>
    <t>Rf-256</t>
  </si>
  <si>
    <t>Rf-257</t>
  </si>
  <si>
    <t>Rf-258</t>
  </si>
  <si>
    <t>Rf-259</t>
  </si>
  <si>
    <t>Rf-260</t>
  </si>
  <si>
    <t>Rf-261</t>
  </si>
  <si>
    <t>Rf-262</t>
  </si>
  <si>
    <t>Rf-263</t>
  </si>
  <si>
    <t>Rf-264</t>
  </si>
  <si>
    <t>Rf-265</t>
  </si>
  <si>
    <t>Rf-266</t>
  </si>
  <si>
    <t>Rh-0</t>
  </si>
  <si>
    <t>Rh-100</t>
  </si>
  <si>
    <t>Rh-101</t>
  </si>
  <si>
    <t>Rh-102</t>
  </si>
  <si>
    <t>Rh-103</t>
  </si>
  <si>
    <t>Rh-104</t>
  </si>
  <si>
    <t>Rh-105</t>
  </si>
  <si>
    <t>Rh-106</t>
  </si>
  <si>
    <t>Rh-107</t>
  </si>
  <si>
    <t>Rh-108</t>
  </si>
  <si>
    <t>Rh-109</t>
  </si>
  <si>
    <t>Rh-110</t>
  </si>
  <si>
    <t>Rh-111</t>
  </si>
  <si>
    <t>Rh-112</t>
  </si>
  <si>
    <t>Rh-113</t>
  </si>
  <si>
    <t>Rh-114</t>
  </si>
  <si>
    <t>Rh-115</t>
  </si>
  <si>
    <t>Rh-116</t>
  </si>
  <si>
    <t>Rh-117</t>
  </si>
  <si>
    <t>Rh-118</t>
  </si>
  <si>
    <t>Rh-119</t>
  </si>
  <si>
    <t>Rh-92</t>
  </si>
  <si>
    <t>Rh-93</t>
  </si>
  <si>
    <t>Rh-94</t>
  </si>
  <si>
    <t>Rh-95</t>
  </si>
  <si>
    <t>Rh-96</t>
  </si>
  <si>
    <t>Rh-97</t>
  </si>
  <si>
    <t>Rh-98</t>
  </si>
  <si>
    <t>Rh-99</t>
  </si>
  <si>
    <t>Rn-0</t>
  </si>
  <si>
    <t>Rn-198</t>
  </si>
  <si>
    <t>Rn-199</t>
  </si>
  <si>
    <t>Rn-200</t>
  </si>
  <si>
    <t>Rn-201</t>
  </si>
  <si>
    <t>Rn-202</t>
  </si>
  <si>
    <t>Rn-203</t>
  </si>
  <si>
    <t>Rn-204</t>
  </si>
  <si>
    <t>Rn-205</t>
  </si>
  <si>
    <t>Rn-206</t>
  </si>
  <si>
    <t>Rn-207</t>
  </si>
  <si>
    <t>Rn-208</t>
  </si>
  <si>
    <t>Rn-209</t>
  </si>
  <si>
    <t>Rn-210</t>
  </si>
  <si>
    <t>Rn-211</t>
  </si>
  <si>
    <t>Rn-212</t>
  </si>
  <si>
    <t>Rn-213</t>
  </si>
  <si>
    <t>Rn-214</t>
  </si>
  <si>
    <t>Rn-215</t>
  </si>
  <si>
    <t>Rn-216</t>
  </si>
  <si>
    <t>Rn-217</t>
  </si>
  <si>
    <t>Rn-218</t>
  </si>
  <si>
    <t>Rn-219</t>
  </si>
  <si>
    <t>Rn-220</t>
  </si>
  <si>
    <t>Rn-221</t>
  </si>
  <si>
    <t>Rn-222</t>
  </si>
  <si>
    <t>Ru-0</t>
  </si>
  <si>
    <t>Ru-100</t>
  </si>
  <si>
    <t>Ru-101</t>
  </si>
  <si>
    <t>Ru-102</t>
  </si>
  <si>
    <t>Ru-103</t>
  </si>
  <si>
    <t>Ru-104</t>
  </si>
  <si>
    <t>Ru-105</t>
  </si>
  <si>
    <t>Ru-106</t>
  </si>
  <si>
    <t>Ru-107</t>
  </si>
  <si>
    <t>Ru-108</t>
  </si>
  <si>
    <t>Ru-109</t>
  </si>
  <si>
    <t>Ru-110</t>
  </si>
  <si>
    <t>Ru-111</t>
  </si>
  <si>
    <t>Ru-112</t>
  </si>
  <si>
    <t>Ru-113</t>
  </si>
  <si>
    <t>Ru-114</t>
  </si>
  <si>
    <t>Ru-115</t>
  </si>
  <si>
    <t>Ru-116</t>
  </si>
  <si>
    <t>Ru-89</t>
  </si>
  <si>
    <t>Ru-90</t>
  </si>
  <si>
    <t>Ru-91</t>
  </si>
  <si>
    <t>Ru-92</t>
  </si>
  <si>
    <t>Ru-93</t>
  </si>
  <si>
    <t>Ru-94</t>
  </si>
  <si>
    <t>Ru-95</t>
  </si>
  <si>
    <t>Ru-96</t>
  </si>
  <si>
    <t>Ru-97</t>
  </si>
  <si>
    <t>Ru-98</t>
  </si>
  <si>
    <t>Ru-99</t>
  </si>
  <si>
    <t>S-0</t>
  </si>
  <si>
    <t>S-26</t>
  </si>
  <si>
    <t>S-27</t>
  </si>
  <si>
    <t>S-28</t>
  </si>
  <si>
    <t>S-29</t>
  </si>
  <si>
    <t>S-30</t>
  </si>
  <si>
    <t>S-31</t>
  </si>
  <si>
    <t>S-32</t>
  </si>
  <si>
    <t>S-33</t>
  </si>
  <si>
    <t>S-34</t>
  </si>
  <si>
    <t>S-35</t>
  </si>
  <si>
    <t>S-36</t>
  </si>
  <si>
    <t>S-37</t>
  </si>
  <si>
    <t>S-38</t>
  </si>
  <si>
    <t>S-39</t>
  </si>
  <si>
    <t>S-40</t>
  </si>
  <si>
    <t>S-41</t>
  </si>
  <si>
    <t>S-42</t>
  </si>
  <si>
    <t>S-43</t>
  </si>
  <si>
    <t>S-44</t>
  </si>
  <si>
    <t>S-45</t>
  </si>
  <si>
    <t>Sb-0</t>
  </si>
  <si>
    <t>Sb-104</t>
  </si>
  <si>
    <t>Sb-105</t>
  </si>
  <si>
    <t>Sb-106</t>
  </si>
  <si>
    <t>Sb-107</t>
  </si>
  <si>
    <t>Sb-108</t>
  </si>
  <si>
    <t>Sb-109</t>
  </si>
  <si>
    <t>Sb-110</t>
  </si>
  <si>
    <t>Sb-111</t>
  </si>
  <si>
    <t>Sb-112</t>
  </si>
  <si>
    <t>Sb-113</t>
  </si>
  <si>
    <t>Sb-114</t>
  </si>
  <si>
    <t>Sb-115</t>
  </si>
  <si>
    <t>Sb-116</t>
  </si>
  <si>
    <t>Sb-117</t>
  </si>
  <si>
    <t>Sb-118</t>
  </si>
  <si>
    <t>Sb-119</t>
  </si>
  <si>
    <t>Sb-120</t>
  </si>
  <si>
    <t>Sb-121</t>
  </si>
  <si>
    <t>Sb-122</t>
  </si>
  <si>
    <t>Sb-123</t>
  </si>
  <si>
    <t>Sb-124</t>
  </si>
  <si>
    <t>Sb-125</t>
  </si>
  <si>
    <t>Sb-126</t>
  </si>
  <si>
    <t>Sb-127</t>
  </si>
  <si>
    <t>Sb-128</t>
  </si>
  <si>
    <t>Sb-129</t>
  </si>
  <si>
    <t>Sb-130</t>
  </si>
  <si>
    <t>Sb-131</t>
  </si>
  <si>
    <t>Sb-132</t>
  </si>
  <si>
    <t>Sb-133</t>
  </si>
  <si>
    <t>Sb-134</t>
  </si>
  <si>
    <t>Sb-135</t>
  </si>
  <si>
    <t>Sb-136</t>
  </si>
  <si>
    <t>Sc-0</t>
  </si>
  <si>
    <t>Sc-36</t>
  </si>
  <si>
    <t>Sc-37</t>
  </si>
  <si>
    <t>Sc-38</t>
  </si>
  <si>
    <t>Sc-39</t>
  </si>
  <si>
    <t>Sc-40</t>
  </si>
  <si>
    <t>Sc-41</t>
  </si>
  <si>
    <t>Sc-42</t>
  </si>
  <si>
    <t>Sc-43</t>
  </si>
  <si>
    <t>Sc-44</t>
  </si>
  <si>
    <t>Sc-45</t>
  </si>
  <si>
    <t>Sc-46</t>
  </si>
  <si>
    <t>Sc-47</t>
  </si>
  <si>
    <t>Sc-48</t>
  </si>
  <si>
    <t>Sc-49</t>
  </si>
  <si>
    <t>Sc-50</t>
  </si>
  <si>
    <t>Sc-51</t>
  </si>
  <si>
    <t>Sc-52</t>
  </si>
  <si>
    <t>Sc-53</t>
  </si>
  <si>
    <t>Sc-54</t>
  </si>
  <si>
    <t>Sc-55</t>
  </si>
  <si>
    <t>Se-0</t>
  </si>
  <si>
    <t>Se-65</t>
  </si>
  <si>
    <t>Se-66</t>
  </si>
  <si>
    <t>Se-67</t>
  </si>
  <si>
    <t>Se-68</t>
  </si>
  <si>
    <t>Se-69</t>
  </si>
  <si>
    <t>Se-70</t>
  </si>
  <si>
    <t>Se-71</t>
  </si>
  <si>
    <t>Se-72</t>
  </si>
  <si>
    <t>Se-73</t>
  </si>
  <si>
    <t>Se-74</t>
  </si>
  <si>
    <t>Se-75</t>
  </si>
  <si>
    <t>Se-76</t>
  </si>
  <si>
    <t>Se-77</t>
  </si>
  <si>
    <t>Se-78</t>
  </si>
  <si>
    <t>Se-79</t>
  </si>
  <si>
    <t>Se-80</t>
  </si>
  <si>
    <t>Se-81</t>
  </si>
  <si>
    <t>Se-82</t>
  </si>
  <si>
    <t>Se-83</t>
  </si>
  <si>
    <t>Se-84</t>
  </si>
  <si>
    <t>Se-85</t>
  </si>
  <si>
    <t>Se-86</t>
  </si>
  <si>
    <t>Se-87</t>
  </si>
  <si>
    <t>Se-88</t>
  </si>
  <si>
    <t>Se-89</t>
  </si>
  <si>
    <t>Se-90</t>
  </si>
  <si>
    <t>Se-91</t>
  </si>
  <si>
    <t>Si-0</t>
  </si>
  <si>
    <t>Si-22</t>
  </si>
  <si>
    <t>Si-23</t>
  </si>
  <si>
    <t>Si-24</t>
  </si>
  <si>
    <t>Si-25</t>
  </si>
  <si>
    <t>Si-26</t>
  </si>
  <si>
    <t>Si-27</t>
  </si>
  <si>
    <t>Si-28</t>
  </si>
  <si>
    <t>Si-29</t>
  </si>
  <si>
    <t>Si-30</t>
  </si>
  <si>
    <t>Si-31</t>
  </si>
  <si>
    <t>Si-32</t>
  </si>
  <si>
    <t>Si-33</t>
  </si>
  <si>
    <t>Si-34</t>
  </si>
  <si>
    <t>Si-35</t>
  </si>
  <si>
    <t>Si-36</t>
  </si>
  <si>
    <t>Si-37</t>
  </si>
  <si>
    <t>Si-38</t>
  </si>
  <si>
    <t>Si-39</t>
  </si>
  <si>
    <t>Si-40</t>
  </si>
  <si>
    <t>Si-41</t>
  </si>
  <si>
    <t>Sm-0</t>
  </si>
  <si>
    <t>Sm-133</t>
  </si>
  <si>
    <t>Sm-134</t>
  </si>
  <si>
    <t>Sm-135</t>
  </si>
  <si>
    <t>Sm-136</t>
  </si>
  <si>
    <t>Sm-137</t>
  </si>
  <si>
    <t>Sm-138</t>
  </si>
  <si>
    <t>Sm-139</t>
  </si>
  <si>
    <t>Sm-140</t>
  </si>
  <si>
    <t>Sm-141</t>
  </si>
  <si>
    <t>Sm-142</t>
  </si>
  <si>
    <t>Sm-143</t>
  </si>
  <si>
    <t>Sm-144</t>
  </si>
  <si>
    <t>Sm-145</t>
  </si>
  <si>
    <t>Sm-146</t>
  </si>
  <si>
    <t>Sm-147</t>
  </si>
  <si>
    <t>Sm-148</t>
  </si>
  <si>
    <t>Sm-149</t>
  </si>
  <si>
    <t>Sm-150</t>
  </si>
  <si>
    <t>Sm-151</t>
  </si>
  <si>
    <t>Sm-152</t>
  </si>
  <si>
    <t>Sm-153</t>
  </si>
  <si>
    <t>Sm-154</t>
  </si>
  <si>
    <t>Sm-155</t>
  </si>
  <si>
    <t>Sm-156</t>
  </si>
  <si>
    <t>Sm-157</t>
  </si>
  <si>
    <t>Sm-158</t>
  </si>
  <si>
    <t>Sm-159</t>
  </si>
  <si>
    <t>Sm-160</t>
  </si>
  <si>
    <t>Sm-161</t>
  </si>
  <si>
    <t>Sn-0</t>
  </si>
  <si>
    <t>Sn-100</t>
  </si>
  <si>
    <t>Sn-101</t>
  </si>
  <si>
    <t>Sn-102</t>
  </si>
  <si>
    <t>Sn-103</t>
  </si>
  <si>
    <t>Sn-104</t>
  </si>
  <si>
    <t>Sn-105</t>
  </si>
  <si>
    <t>Sn-106</t>
  </si>
  <si>
    <t>Sn-107</t>
  </si>
  <si>
    <t>Sn-108</t>
  </si>
  <si>
    <t>Sn-109</t>
  </si>
  <si>
    <t>Sn-110</t>
  </si>
  <si>
    <t>Sn-111</t>
  </si>
  <si>
    <t>Sn-112</t>
  </si>
  <si>
    <t>Sn-113</t>
  </si>
  <si>
    <t>Sn-114</t>
  </si>
  <si>
    <t>Sn-115</t>
  </si>
  <si>
    <t>Sn-116</t>
  </si>
  <si>
    <t>Sn-117</t>
  </si>
  <si>
    <t>Sn-118</t>
  </si>
  <si>
    <t>Sn-119</t>
  </si>
  <si>
    <t>Sn-120</t>
  </si>
  <si>
    <t>Sn-121</t>
  </si>
  <si>
    <t>Sn-122</t>
  </si>
  <si>
    <t>Sn-123</t>
  </si>
  <si>
    <t>Sn-124</t>
  </si>
  <si>
    <t>Sn-125</t>
  </si>
  <si>
    <t>Sn-126</t>
  </si>
  <si>
    <t>Sn-127</t>
  </si>
  <si>
    <t>Sn-128</t>
  </si>
  <si>
    <t>Sn-129</t>
  </si>
  <si>
    <t>Sn-130</t>
  </si>
  <si>
    <t>Sn-131</t>
  </si>
  <si>
    <t>Sn-132</t>
  </si>
  <si>
    <t>Sn-133</t>
  </si>
  <si>
    <t>Sn-134</t>
  </si>
  <si>
    <t>Sr-0</t>
  </si>
  <si>
    <t>Sr-100</t>
  </si>
  <si>
    <t>Sr-101</t>
  </si>
  <si>
    <t>Sr-102</t>
  </si>
  <si>
    <t>Sr-75</t>
  </si>
  <si>
    <t>Sr-76</t>
  </si>
  <si>
    <t>Sr-77</t>
  </si>
  <si>
    <t>Sr-78</t>
  </si>
  <si>
    <t>Sr-79</t>
  </si>
  <si>
    <t>Sr-80</t>
  </si>
  <si>
    <t>Sr-81</t>
  </si>
  <si>
    <t>Sr-82</t>
  </si>
  <si>
    <t>Sr-83</t>
  </si>
  <si>
    <t>Sr-84</t>
  </si>
  <si>
    <t>Sr-85</t>
  </si>
  <si>
    <t>Sr-86</t>
  </si>
  <si>
    <t>Sr-87</t>
  </si>
  <si>
    <t>Sr-88</t>
  </si>
  <si>
    <t>Sr-89</t>
  </si>
  <si>
    <t>Sr-90</t>
  </si>
  <si>
    <t>Sr-91</t>
  </si>
  <si>
    <t>Sr-92</t>
  </si>
  <si>
    <t>Sr-93</t>
  </si>
  <si>
    <t>Sr-94</t>
  </si>
  <si>
    <t>Sr-95</t>
  </si>
  <si>
    <t>Sr-96</t>
  </si>
  <si>
    <t>Sr-97</t>
  </si>
  <si>
    <t>Sr-98</t>
  </si>
  <si>
    <t>Sr-99</t>
  </si>
  <si>
    <t>Ta-0</t>
  </si>
  <si>
    <t>Ta-156</t>
  </si>
  <si>
    <t>Ta-157</t>
  </si>
  <si>
    <t>Ta-158</t>
  </si>
  <si>
    <t>Ta-159</t>
  </si>
  <si>
    <t>Ta-160</t>
  </si>
  <si>
    <t>Ta-161</t>
  </si>
  <si>
    <t>Ta-162</t>
  </si>
  <si>
    <t>Ta-163</t>
  </si>
  <si>
    <t>Ta-164</t>
  </si>
  <si>
    <t>Ta-165</t>
  </si>
  <si>
    <t>Ta-166</t>
  </si>
  <si>
    <t>Ta-167</t>
  </si>
  <si>
    <t>Ta-168</t>
  </si>
  <si>
    <t>Ta-169</t>
  </si>
  <si>
    <t>Ta-170</t>
  </si>
  <si>
    <t>Ta-171</t>
  </si>
  <si>
    <t>Ta-172</t>
  </si>
  <si>
    <t>Ta-173</t>
  </si>
  <si>
    <t>Ta-174</t>
  </si>
  <si>
    <t>Ta-175</t>
  </si>
  <si>
    <t>Ta-176</t>
  </si>
  <si>
    <t>Ta-177</t>
  </si>
  <si>
    <t>Ta-178</t>
  </si>
  <si>
    <t>Ta-179</t>
  </si>
  <si>
    <t>Ta-180</t>
  </si>
  <si>
    <t>Ta-181</t>
  </si>
  <si>
    <t>Ta-182</t>
  </si>
  <si>
    <t>Ta-183</t>
  </si>
  <si>
    <t>Ta-184</t>
  </si>
  <si>
    <t>Ta-185</t>
  </si>
  <si>
    <t>Ta-186</t>
  </si>
  <si>
    <t>Ta-187</t>
  </si>
  <si>
    <t>Tb-0</t>
  </si>
  <si>
    <t>Tb-139</t>
  </si>
  <si>
    <t>Tb-140</t>
  </si>
  <si>
    <t>Tb-141</t>
  </si>
  <si>
    <t>Tb-142</t>
  </si>
  <si>
    <t>Tb-143</t>
  </si>
  <si>
    <t>Tb-144</t>
  </si>
  <si>
    <t>Tb-145</t>
  </si>
  <si>
    <t>Tb-146</t>
  </si>
  <si>
    <t>Tb-147</t>
  </si>
  <si>
    <t>Tb-148</t>
  </si>
  <si>
    <t>Tb-149</t>
  </si>
  <si>
    <t>Tb-150</t>
  </si>
  <si>
    <t>Tb-151</t>
  </si>
  <si>
    <t>Tb-152</t>
  </si>
  <si>
    <t>Tb-153</t>
  </si>
  <si>
    <t>Tb-154</t>
  </si>
  <si>
    <t>Tb-155</t>
  </si>
  <si>
    <t>Tb-156</t>
  </si>
  <si>
    <t>Tb-157</t>
  </si>
  <si>
    <t>Tb-158</t>
  </si>
  <si>
    <t>Tb-159</t>
  </si>
  <si>
    <t>Tb-160</t>
  </si>
  <si>
    <t>Tb-161</t>
  </si>
  <si>
    <t>Tb-162</t>
  </si>
  <si>
    <t>Tb-163</t>
  </si>
  <si>
    <t>Tb-164</t>
  </si>
  <si>
    <t>Tb-165</t>
  </si>
  <si>
    <t>Tb-166</t>
  </si>
  <si>
    <t>Tb-167</t>
  </si>
  <si>
    <t>Tc-0</t>
  </si>
  <si>
    <t>Tc-100</t>
  </si>
  <si>
    <t>Tc-101</t>
  </si>
  <si>
    <t>Tc-102</t>
  </si>
  <si>
    <t>Tc-103</t>
  </si>
  <si>
    <t>Tc-104</t>
  </si>
  <si>
    <t>Tc-105</t>
  </si>
  <si>
    <t>Tc-106</t>
  </si>
  <si>
    <t>Tc-107</t>
  </si>
  <si>
    <t>Tc-108</t>
  </si>
  <si>
    <t>Tc-109</t>
  </si>
  <si>
    <t>Tc-110</t>
  </si>
  <si>
    <t>Tc-111</t>
  </si>
  <si>
    <t>Tc-112</t>
  </si>
  <si>
    <t>Tc-113</t>
  </si>
  <si>
    <t>Tc-86</t>
  </si>
  <si>
    <t>Tc-87</t>
  </si>
  <si>
    <t>Tc-88</t>
  </si>
  <si>
    <t>Tc-89</t>
  </si>
  <si>
    <t>Tc-90</t>
  </si>
  <si>
    <t>Tc-91</t>
  </si>
  <si>
    <t>Tc-92</t>
  </si>
  <si>
    <t>Tc-93</t>
  </si>
  <si>
    <t>Tc-94</t>
  </si>
  <si>
    <t>Tc-95</t>
  </si>
  <si>
    <t>Tc-96</t>
  </si>
  <si>
    <t>Tc-97</t>
  </si>
  <si>
    <t>Tc-98</t>
  </si>
  <si>
    <t>Tc-99</t>
  </si>
  <si>
    <t>Te-0</t>
  </si>
  <si>
    <t>Te-106</t>
  </si>
  <si>
    <t>Te-107</t>
  </si>
  <si>
    <t>Te-108</t>
  </si>
  <si>
    <t>Te-109</t>
  </si>
  <si>
    <t>Te-110</t>
  </si>
  <si>
    <t>Te-111</t>
  </si>
  <si>
    <t>Te-112</t>
  </si>
  <si>
    <t>Te-113</t>
  </si>
  <si>
    <t>Te-114</t>
  </si>
  <si>
    <t>Te-115</t>
  </si>
  <si>
    <t>Te-116</t>
  </si>
  <si>
    <t>Te-117</t>
  </si>
  <si>
    <t>Te-118</t>
  </si>
  <si>
    <t>Te-119</t>
  </si>
  <si>
    <t>Te-120</t>
  </si>
  <si>
    <t>Te-121</t>
  </si>
  <si>
    <t>Te-122</t>
  </si>
  <si>
    <t>Te-123</t>
  </si>
  <si>
    <t>Te-124</t>
  </si>
  <si>
    <t>Te-125</t>
  </si>
  <si>
    <t>Te-126</t>
  </si>
  <si>
    <t>Te-127</t>
  </si>
  <si>
    <t>Te-128</t>
  </si>
  <si>
    <t>Te-129</t>
  </si>
  <si>
    <t>Te-130</t>
  </si>
  <si>
    <t>Te-131</t>
  </si>
  <si>
    <t>Te-132</t>
  </si>
  <si>
    <t>Te-133</t>
  </si>
  <si>
    <t>Te-134</t>
  </si>
  <si>
    <t>Te-135</t>
  </si>
  <si>
    <t>Te-136</t>
  </si>
  <si>
    <t>Te-137</t>
  </si>
  <si>
    <t>Te-138</t>
  </si>
  <si>
    <t>Th-0</t>
  </si>
  <si>
    <t>Th-212</t>
  </si>
  <si>
    <t>Th-213</t>
  </si>
  <si>
    <t>Th-214</t>
  </si>
  <si>
    <t>Th-215</t>
  </si>
  <si>
    <t>Th-216</t>
  </si>
  <si>
    <t>Th-217</t>
  </si>
  <si>
    <t>Th-218</t>
  </si>
  <si>
    <t>Th-219</t>
  </si>
  <si>
    <t>Th-220</t>
  </si>
  <si>
    <t>Th-221</t>
  </si>
  <si>
    <t>Th-222</t>
  </si>
  <si>
    <t>Th-223</t>
  </si>
  <si>
    <t>Th-224</t>
  </si>
  <si>
    <t>Th-225</t>
  </si>
  <si>
    <t>Th-226</t>
  </si>
  <si>
    <t>Th-227</t>
  </si>
  <si>
    <t>Th-228</t>
  </si>
  <si>
    <t>Th-229</t>
  </si>
  <si>
    <t>Th-230</t>
  </si>
  <si>
    <t>Th-231</t>
  </si>
  <si>
    <t>Th-232</t>
  </si>
  <si>
    <t>Th-233</t>
  </si>
  <si>
    <t>miin</t>
  </si>
  <si>
    <t>Th-234</t>
  </si>
  <si>
    <t>Th-235</t>
  </si>
  <si>
    <t>Ti-0</t>
  </si>
  <si>
    <t>Ti-38</t>
  </si>
  <si>
    <t>Ti-39</t>
  </si>
  <si>
    <t>Ti-40</t>
  </si>
  <si>
    <t>Ti-41</t>
  </si>
  <si>
    <t>Ti-42</t>
  </si>
  <si>
    <t>Ti-43</t>
  </si>
  <si>
    <t>Ti-44</t>
  </si>
  <si>
    <t>Ti-45</t>
  </si>
  <si>
    <t>Ti-46</t>
  </si>
  <si>
    <t>Ti-47</t>
  </si>
  <si>
    <t>Ti-48</t>
  </si>
  <si>
    <t>Ti-49</t>
  </si>
  <si>
    <t>Ti-50</t>
  </si>
  <si>
    <t>Ti-51</t>
  </si>
  <si>
    <t>Ti-52</t>
  </si>
  <si>
    <t>Ti-53</t>
  </si>
  <si>
    <t>Ti-54</t>
  </si>
  <si>
    <t>Ti-55</t>
  </si>
  <si>
    <t>Ti-56</t>
  </si>
  <si>
    <t>Ti-57</t>
  </si>
  <si>
    <t>Tl-0</t>
  </si>
  <si>
    <t>Tl-176</t>
  </si>
  <si>
    <t>Tl-177</t>
  </si>
  <si>
    <t>Tl-178</t>
  </si>
  <si>
    <t>Tl-179</t>
  </si>
  <si>
    <t>Tl-180</t>
  </si>
  <si>
    <t>Tl-181</t>
  </si>
  <si>
    <t>Tl-182</t>
  </si>
  <si>
    <t>Tl-183</t>
  </si>
  <si>
    <t>Tl-184</t>
  </si>
  <si>
    <t>Tl-185</t>
  </si>
  <si>
    <t>Tl-186</t>
  </si>
  <si>
    <t>Tl-187</t>
  </si>
  <si>
    <t>Tl-188</t>
  </si>
  <si>
    <t>Tl-189</t>
  </si>
  <si>
    <t>Tl-190</t>
  </si>
  <si>
    <t>Tl-191</t>
  </si>
  <si>
    <t>Tl-192</t>
  </si>
  <si>
    <t>Tl-193</t>
  </si>
  <si>
    <t>Tl-194</t>
  </si>
  <si>
    <t>Tl-195</t>
  </si>
  <si>
    <t>Tl-196</t>
  </si>
  <si>
    <t>Tl-197</t>
  </si>
  <si>
    <t>Tl-198</t>
  </si>
  <si>
    <t>Tl-199</t>
  </si>
  <si>
    <t>Tl-200</t>
  </si>
  <si>
    <t>Tl-201</t>
  </si>
  <si>
    <t>Tl-202</t>
  </si>
  <si>
    <t>Tl-203</t>
  </si>
  <si>
    <t>Tl-204</t>
  </si>
  <si>
    <t>Tl-205</t>
  </si>
  <si>
    <t>Tl-206</t>
  </si>
  <si>
    <t>Tl-207</t>
  </si>
  <si>
    <t>Tl-208</t>
  </si>
  <si>
    <t>Tl-209</t>
  </si>
  <si>
    <t>Tl-210</t>
  </si>
  <si>
    <t>Tm-0</t>
  </si>
  <si>
    <t>Tm-146</t>
  </si>
  <si>
    <t>Tm-147</t>
  </si>
  <si>
    <t>Tm-148</t>
  </si>
  <si>
    <t>Tm-149</t>
  </si>
  <si>
    <t>Tm-150</t>
  </si>
  <si>
    <t>Tm-151</t>
  </si>
  <si>
    <t>Tm-152</t>
  </si>
  <si>
    <t>Tm-153</t>
  </si>
  <si>
    <t>Tm-154</t>
  </si>
  <si>
    <t>Tm-155</t>
  </si>
  <si>
    <t>Tm-156</t>
  </si>
  <si>
    <t>Tm-157</t>
  </si>
  <si>
    <t>Tm-158</t>
  </si>
  <si>
    <t>Tm-159</t>
  </si>
  <si>
    <t>Tm-160</t>
  </si>
  <si>
    <t>Tm-161</t>
  </si>
  <si>
    <t>Tm-162</t>
  </si>
  <si>
    <t>Tm-163</t>
  </si>
  <si>
    <t>Tm-164</t>
  </si>
  <si>
    <t>Tm-165</t>
  </si>
  <si>
    <t>Tm-166</t>
  </si>
  <si>
    <t>Tm-167</t>
  </si>
  <si>
    <t>Tm-168</t>
  </si>
  <si>
    <t>Tm-169</t>
  </si>
  <si>
    <t>Tm-170</t>
  </si>
  <si>
    <t>Tm-171</t>
  </si>
  <si>
    <t>Tm-172</t>
  </si>
  <si>
    <t>Tm-173</t>
  </si>
  <si>
    <t>Tm-174</t>
  </si>
  <si>
    <t>Tm-175</t>
  </si>
  <si>
    <t>Tm-176</t>
  </si>
  <si>
    <t>Tm-177</t>
  </si>
  <si>
    <t>U-0</t>
  </si>
  <si>
    <t>U-218</t>
  </si>
  <si>
    <t>U-219</t>
  </si>
  <si>
    <t>U-220</t>
  </si>
  <si>
    <t>U-221</t>
  </si>
  <si>
    <t>U-222</t>
  </si>
  <si>
    <t>U-223</t>
  </si>
  <si>
    <t>U-224</t>
  </si>
  <si>
    <t>U-225</t>
  </si>
  <si>
    <t>U-226</t>
  </si>
  <si>
    <t>U-227</t>
  </si>
  <si>
    <t>U-228</t>
  </si>
  <si>
    <t>U-229</t>
  </si>
  <si>
    <t>U-230</t>
  </si>
  <si>
    <t>U-231</t>
  </si>
  <si>
    <t>U-232</t>
  </si>
  <si>
    <t>U-233</t>
  </si>
  <si>
    <t>U-234</t>
  </si>
  <si>
    <t>U-235</t>
  </si>
  <si>
    <t>U-236</t>
  </si>
  <si>
    <t>U-237</t>
  </si>
  <si>
    <t>U-238</t>
  </si>
  <si>
    <t>U-239</t>
  </si>
  <si>
    <t>U-240</t>
  </si>
  <si>
    <t>V-0</t>
  </si>
  <si>
    <t>V-40</t>
  </si>
  <si>
    <t>V-41</t>
  </si>
  <si>
    <t>V-42</t>
  </si>
  <si>
    <t>V-43</t>
  </si>
  <si>
    <t>V-44</t>
  </si>
  <si>
    <t>V-45</t>
  </si>
  <si>
    <t>V-46</t>
  </si>
  <si>
    <t>V-47</t>
  </si>
  <si>
    <t>V-48</t>
  </si>
  <si>
    <t>V-49</t>
  </si>
  <si>
    <t>V-50</t>
  </si>
  <si>
    <t>V-51</t>
  </si>
  <si>
    <t>V-52</t>
  </si>
  <si>
    <t>V-53</t>
  </si>
  <si>
    <t>V-54</t>
  </si>
  <si>
    <t>V-55</t>
  </si>
  <si>
    <t>V-56</t>
  </si>
  <si>
    <t>V-57</t>
  </si>
  <si>
    <t>V-58</t>
  </si>
  <si>
    <t>V-59</t>
  </si>
  <si>
    <t>V-60</t>
  </si>
  <si>
    <t>W-0</t>
  </si>
  <si>
    <t>W-158</t>
  </si>
  <si>
    <t>W-159</t>
  </si>
  <si>
    <t>W-160</t>
  </si>
  <si>
    <t>W-161</t>
  </si>
  <si>
    <t>W-162</t>
  </si>
  <si>
    <t>W-163</t>
  </si>
  <si>
    <t>W-164</t>
  </si>
  <si>
    <t>W-165</t>
  </si>
  <si>
    <t>W-166</t>
  </si>
  <si>
    <t>W-167</t>
  </si>
  <si>
    <t>W-168</t>
  </si>
  <si>
    <t>W-169</t>
  </si>
  <si>
    <t>W-170</t>
  </si>
  <si>
    <t>W-171</t>
  </si>
  <si>
    <t>W-172</t>
  </si>
  <si>
    <t>W-173</t>
  </si>
  <si>
    <t>W-174</t>
  </si>
  <si>
    <t>W-175</t>
  </si>
  <si>
    <t>W-176</t>
  </si>
  <si>
    <t>W-177</t>
  </si>
  <si>
    <t>W-178</t>
  </si>
  <si>
    <t>W-179</t>
  </si>
  <si>
    <t>W-180</t>
  </si>
  <si>
    <t>W-181</t>
  </si>
  <si>
    <t>W-182</t>
  </si>
  <si>
    <t>W-183</t>
  </si>
  <si>
    <t>W-184</t>
  </si>
  <si>
    <t>W-185</t>
  </si>
  <si>
    <t>W-186</t>
  </si>
  <si>
    <t>W-187</t>
  </si>
  <si>
    <t>W-188</t>
  </si>
  <si>
    <t>W-189</t>
  </si>
  <si>
    <t>W-190</t>
  </si>
  <si>
    <t>Xe-0</t>
  </si>
  <si>
    <t>Xe-110</t>
  </si>
  <si>
    <t>Xe-111</t>
  </si>
  <si>
    <t>Xe-112</t>
  </si>
  <si>
    <t>Xe-113</t>
  </si>
  <si>
    <t>Xe-114</t>
  </si>
  <si>
    <t>Xe-115</t>
  </si>
  <si>
    <t>Xe-116</t>
  </si>
  <si>
    <t>Xe-117</t>
  </si>
  <si>
    <t>Xe-118</t>
  </si>
  <si>
    <t>Xe-119</t>
  </si>
  <si>
    <t>Xe-120</t>
  </si>
  <si>
    <t>Xe-121</t>
  </si>
  <si>
    <t>Xe-122</t>
  </si>
  <si>
    <t>Xe-123</t>
  </si>
  <si>
    <t>Xe-124</t>
  </si>
  <si>
    <t>Xe-125</t>
  </si>
  <si>
    <t>Xe-126</t>
  </si>
  <si>
    <t>Xe-127</t>
  </si>
  <si>
    <t>Xe-128</t>
  </si>
  <si>
    <t>Xe-129</t>
  </si>
  <si>
    <t>Xe-130</t>
  </si>
  <si>
    <t>Xe-131</t>
  </si>
  <si>
    <t>Xe-132</t>
  </si>
  <si>
    <t>Xe-133</t>
  </si>
  <si>
    <t>Xe-134</t>
  </si>
  <si>
    <t>Xe-135</t>
  </si>
  <si>
    <t>Xe-136</t>
  </si>
  <si>
    <t>Xe-137</t>
  </si>
  <si>
    <t>Xe-138</t>
  </si>
  <si>
    <t>Xe-139</t>
  </si>
  <si>
    <t>Xe-140</t>
  </si>
  <si>
    <t>Xe-141</t>
  </si>
  <si>
    <t>Xe-142</t>
  </si>
  <si>
    <t>Xe-143</t>
  </si>
  <si>
    <t>Xe-144</t>
  </si>
  <si>
    <t>Y-0</t>
  </si>
  <si>
    <t>Y-100</t>
  </si>
  <si>
    <t>Y-101</t>
  </si>
  <si>
    <t>Y-102</t>
  </si>
  <si>
    <t>Y-103</t>
  </si>
  <si>
    <t>Y-104</t>
  </si>
  <si>
    <t>Y-77</t>
  </si>
  <si>
    <t>Y-78</t>
  </si>
  <si>
    <t>Y-79</t>
  </si>
  <si>
    <t>Y-80</t>
  </si>
  <si>
    <t>Y-81</t>
  </si>
  <si>
    <t>Y-82</t>
  </si>
  <si>
    <t>Y-83</t>
  </si>
  <si>
    <t>Y-84</t>
  </si>
  <si>
    <t>Y-85</t>
  </si>
  <si>
    <t>Y-86</t>
  </si>
  <si>
    <t>Y-87</t>
  </si>
  <si>
    <t>Y-88</t>
  </si>
  <si>
    <t>Y-89</t>
  </si>
  <si>
    <t>Y-90</t>
  </si>
  <si>
    <t>Y-91</t>
  </si>
  <si>
    <t>Y-92</t>
  </si>
  <si>
    <t>Y-93</t>
  </si>
  <si>
    <t>Y-94</t>
  </si>
  <si>
    <t>Y-95</t>
  </si>
  <si>
    <t>Y-96</t>
  </si>
  <si>
    <t>Y-97</t>
  </si>
  <si>
    <t>Y-98</t>
  </si>
  <si>
    <t>Y-99</t>
  </si>
  <si>
    <t>Yb-0</t>
  </si>
  <si>
    <t>Yb-148</t>
  </si>
  <si>
    <t>Yb-149</t>
  </si>
  <si>
    <t>Yb-150</t>
  </si>
  <si>
    <t>Yb-151</t>
  </si>
  <si>
    <t>Yb-152</t>
  </si>
  <si>
    <t>Yb-153</t>
  </si>
  <si>
    <t>Yb-154</t>
  </si>
  <si>
    <t>Yb-155</t>
  </si>
  <si>
    <t>Yb-156</t>
  </si>
  <si>
    <t>Yb-157</t>
  </si>
  <si>
    <t>Yb-158</t>
  </si>
  <si>
    <t>Yb-159</t>
  </si>
  <si>
    <t>Yb-160</t>
  </si>
  <si>
    <t>Yb-161</t>
  </si>
  <si>
    <t>Yb-162</t>
  </si>
  <si>
    <t>Yb-163</t>
  </si>
  <si>
    <t>Yb-164</t>
  </si>
  <si>
    <t>Yb-165</t>
  </si>
  <si>
    <t>Yb-166</t>
  </si>
  <si>
    <t>Yb-167</t>
  </si>
  <si>
    <t>Yb-168</t>
  </si>
  <si>
    <t>Yb-169</t>
  </si>
  <si>
    <t>Yb-170</t>
  </si>
  <si>
    <t>Yb-171</t>
  </si>
  <si>
    <t>Yb-172</t>
  </si>
  <si>
    <t>Yb-173</t>
  </si>
  <si>
    <t>Yb-174</t>
  </si>
  <si>
    <t>Yb-175</t>
  </si>
  <si>
    <t>Yb-176</t>
  </si>
  <si>
    <t>Yb-177</t>
  </si>
  <si>
    <t>Yb-178</t>
  </si>
  <si>
    <t>Yb-179</t>
  </si>
  <si>
    <t>Zn-0</t>
  </si>
  <si>
    <t>Zn-54</t>
  </si>
  <si>
    <t>Zn-55</t>
  </si>
  <si>
    <t>Zn-56</t>
  </si>
  <si>
    <t>Zn-57</t>
  </si>
  <si>
    <t>Zn-58</t>
  </si>
  <si>
    <t>Zn-59</t>
  </si>
  <si>
    <t>Zn-60</t>
  </si>
  <si>
    <t>Zn-61</t>
  </si>
  <si>
    <t>Zn-62</t>
  </si>
  <si>
    <t>Zn-63</t>
  </si>
  <si>
    <t>Zn-64</t>
  </si>
  <si>
    <t>Zn-65</t>
  </si>
  <si>
    <t>Zn-66</t>
  </si>
  <si>
    <t>Zn-67</t>
  </si>
  <si>
    <t>Zn-68</t>
  </si>
  <si>
    <t>Zn-69</t>
  </si>
  <si>
    <t>Zn-70</t>
  </si>
  <si>
    <t>Zn-71</t>
  </si>
  <si>
    <t>Zn-72</t>
  </si>
  <si>
    <t>Zn-73</t>
  </si>
  <si>
    <t>Zn-74</t>
  </si>
  <si>
    <t>Zn-75</t>
  </si>
  <si>
    <t>Zn-76</t>
  </si>
  <si>
    <t>Zn-77</t>
  </si>
  <si>
    <t>Zn-78</t>
  </si>
  <si>
    <t>Zn-79</t>
  </si>
  <si>
    <t>Zn-80</t>
  </si>
  <si>
    <t>Zn-81</t>
  </si>
  <si>
    <t>Zn-82</t>
  </si>
  <si>
    <t>Zr-100</t>
  </si>
  <si>
    <t>Zr-101</t>
  </si>
  <si>
    <t>Zr-102</t>
  </si>
  <si>
    <t>Zr-103</t>
  </si>
  <si>
    <t>Zr-104</t>
  </si>
  <si>
    <t>Zr-105</t>
  </si>
  <si>
    <t>Zr-106</t>
  </si>
  <si>
    <t>Zr-80</t>
  </si>
  <si>
    <t>Zr-81</t>
  </si>
  <si>
    <t>Zr-82</t>
  </si>
  <si>
    <t>Zr-83</t>
  </si>
  <si>
    <t>Zr-84</t>
  </si>
  <si>
    <t>Zr-85</t>
  </si>
  <si>
    <t>Zr-86</t>
  </si>
  <si>
    <t>Zr-87</t>
  </si>
  <si>
    <t>Zr-88</t>
  </si>
  <si>
    <t>Zr-89</t>
  </si>
  <si>
    <t>Zr-90</t>
  </si>
  <si>
    <t>Zr-91</t>
  </si>
  <si>
    <t>Zr-92</t>
  </si>
  <si>
    <t>Zr-93</t>
  </si>
  <si>
    <t>Zr-94</t>
  </si>
  <si>
    <t>Zr-95</t>
  </si>
  <si>
    <t>Zr-96</t>
  </si>
  <si>
    <t>Zr-97</t>
  </si>
  <si>
    <t>Zr-98</t>
  </si>
  <si>
    <t>Zr-99</t>
  </si>
  <si>
    <t>Fill in Only theYellow areas:</t>
  </si>
  <si>
    <t>Total mass</t>
  </si>
  <si>
    <t>At. No</t>
  </si>
  <si>
    <t>Total Protons</t>
  </si>
  <si>
    <t>Compound:</t>
  </si>
  <si>
    <t>Formula Weight</t>
  </si>
  <si>
    <t>u</t>
  </si>
  <si>
    <t>Electron density</t>
  </si>
  <si>
    <t>Electrons/gram</t>
  </si>
  <si>
    <t>Info lookup</t>
  </si>
  <si>
    <t xml:space="preserve">Symbol: </t>
  </si>
  <si>
    <t>English to SI Unit Conversions</t>
  </si>
  <si>
    <t>The blue indicates a number in the format of 1-100 Xunits.</t>
  </si>
  <si>
    <t>TBq</t>
  </si>
  <si>
    <t>PBq</t>
  </si>
  <si>
    <t>EBq</t>
  </si>
  <si>
    <t>pBq</t>
  </si>
  <si>
    <t>nBq</t>
  </si>
  <si>
    <t>uBq</t>
  </si>
  <si>
    <t xml:space="preserve"> Bq</t>
  </si>
  <si>
    <t>fCi</t>
  </si>
  <si>
    <t>Rad</t>
  </si>
  <si>
    <t>nGy</t>
  </si>
  <si>
    <t>uGy</t>
  </si>
  <si>
    <t>mGy</t>
  </si>
  <si>
    <t>Gy</t>
  </si>
  <si>
    <t>kGy</t>
  </si>
  <si>
    <t>MGy</t>
  </si>
  <si>
    <t>urad</t>
  </si>
  <si>
    <t>mrad</t>
  </si>
  <si>
    <t>rad</t>
  </si>
  <si>
    <t>krad</t>
  </si>
  <si>
    <t>Mrad</t>
  </si>
  <si>
    <t>Rem</t>
  </si>
  <si>
    <t>nSv</t>
  </si>
  <si>
    <t>uSv</t>
  </si>
  <si>
    <t>mSv</t>
  </si>
  <si>
    <t>Sv</t>
  </si>
  <si>
    <t>kSv</t>
  </si>
  <si>
    <t>MSv</t>
  </si>
  <si>
    <t>urem</t>
  </si>
  <si>
    <t>mrem</t>
  </si>
  <si>
    <t>rem</t>
  </si>
  <si>
    <t>krem</t>
  </si>
  <si>
    <t>Mrem</t>
  </si>
  <si>
    <t>Note</t>
  </si>
  <si>
    <t>Air kerma dose is about</t>
  </si>
  <si>
    <t>R per rad</t>
  </si>
  <si>
    <t>Roentgen</t>
  </si>
  <si>
    <t>uR</t>
  </si>
  <si>
    <t>mR</t>
  </si>
  <si>
    <t>R</t>
  </si>
  <si>
    <t>kR</t>
  </si>
  <si>
    <t>MR</t>
  </si>
  <si>
    <t>uC/kg</t>
  </si>
  <si>
    <t>mC/kg</t>
  </si>
  <si>
    <t>C/kg</t>
  </si>
  <si>
    <t>kC/kg</t>
  </si>
  <si>
    <t>MC/kg</t>
  </si>
  <si>
    <t>pBq / m3</t>
  </si>
  <si>
    <t xml:space="preserve">nBq / m3 </t>
  </si>
  <si>
    <t>uBq / m3</t>
  </si>
  <si>
    <t>mBq / m3</t>
  </si>
  <si>
    <t>Bq / m3</t>
  </si>
  <si>
    <t>kBq / m3</t>
  </si>
  <si>
    <t>MBq / m3</t>
  </si>
  <si>
    <t>GBq / m3</t>
  </si>
  <si>
    <t>TBq / m3</t>
  </si>
  <si>
    <t>pCi / L</t>
  </si>
  <si>
    <t>nCi / L</t>
  </si>
  <si>
    <t>uCi / L</t>
  </si>
  <si>
    <t>mCi / L</t>
  </si>
  <si>
    <t>pCi / ml</t>
  </si>
  <si>
    <t>nCi / ml</t>
  </si>
  <si>
    <t>uCi / ml</t>
  </si>
  <si>
    <t>mCi / ml</t>
  </si>
  <si>
    <t>Concentra</t>
  </si>
  <si>
    <t>mBq  / g</t>
  </si>
  <si>
    <t>Bq / g</t>
  </si>
  <si>
    <t>kBq / g</t>
  </si>
  <si>
    <t>MBq / g</t>
  </si>
  <si>
    <t>mBq / kg</t>
  </si>
  <si>
    <t>Bq / kg</t>
  </si>
  <si>
    <t>kBq / kg</t>
  </si>
  <si>
    <t>MBq / kg</t>
  </si>
  <si>
    <t>pCi / g</t>
  </si>
  <si>
    <t>nCi / g</t>
  </si>
  <si>
    <t>uCi / g</t>
  </si>
  <si>
    <t>mCi / g</t>
  </si>
  <si>
    <t>pCi / kg</t>
  </si>
  <si>
    <t>nCi / kg</t>
  </si>
  <si>
    <t>uCi / kg</t>
  </si>
  <si>
    <t>mCi / kg</t>
  </si>
  <si>
    <t>Ci / kg</t>
  </si>
  <si>
    <t>nBq /1000kg</t>
  </si>
  <si>
    <t>uBq /1000kg</t>
  </si>
  <si>
    <t>mBq /1000kg</t>
  </si>
  <si>
    <t>Bq /1000 kg</t>
  </si>
  <si>
    <t>kBq /1000kg</t>
  </si>
  <si>
    <t>MBq /1000kg</t>
  </si>
  <si>
    <t>GBq /1000kg</t>
  </si>
  <si>
    <t>pCi / ton</t>
  </si>
  <si>
    <t>nCi / ton</t>
  </si>
  <si>
    <t>uCi / ton</t>
  </si>
  <si>
    <t>mCi / ton</t>
  </si>
  <si>
    <t>Ci / ton</t>
  </si>
  <si>
    <t>Contam</t>
  </si>
  <si>
    <t>Bq / m2</t>
  </si>
  <si>
    <t>kBq / m2</t>
  </si>
  <si>
    <t>MBq / m2</t>
  </si>
  <si>
    <t>mBq / cm2</t>
  </si>
  <si>
    <t>Bq / cm2</t>
  </si>
  <si>
    <t>kBq / cm2</t>
  </si>
  <si>
    <t>MBq / cm2</t>
  </si>
  <si>
    <t>uCi/100cm2</t>
  </si>
  <si>
    <t>nCi/100cm2</t>
  </si>
  <si>
    <t>pCi/100cm2</t>
  </si>
  <si>
    <t>Area cont</t>
  </si>
  <si>
    <t>Bq / km2</t>
  </si>
  <si>
    <t>KBq / km2</t>
  </si>
  <si>
    <t>MBq / km2</t>
  </si>
  <si>
    <t>GBq / km2</t>
  </si>
  <si>
    <t>TBq / km2</t>
  </si>
  <si>
    <t>PBq / km2</t>
  </si>
  <si>
    <t>EBq / km2</t>
  </si>
  <si>
    <t>mCi/mile2</t>
  </si>
  <si>
    <t>Ci/mile2</t>
  </si>
  <si>
    <t>kCi/mile2</t>
  </si>
  <si>
    <t>MCi/mile2</t>
  </si>
  <si>
    <t>Mass</t>
  </si>
  <si>
    <t>g</t>
  </si>
  <si>
    <t>Mg</t>
  </si>
  <si>
    <t>Gg</t>
  </si>
  <si>
    <t>Tg</t>
  </si>
  <si>
    <t>Pg</t>
  </si>
  <si>
    <t>ounces</t>
  </si>
  <si>
    <t>pounds</t>
  </si>
  <si>
    <t>metric ton</t>
  </si>
  <si>
    <t>tons</t>
  </si>
  <si>
    <t>Flow rate</t>
  </si>
  <si>
    <t>cm3 / sec</t>
  </si>
  <si>
    <t xml:space="preserve">cm3 / min </t>
  </si>
  <si>
    <t xml:space="preserve">m3 / sec </t>
  </si>
  <si>
    <t>m3 / min</t>
  </si>
  <si>
    <t>m3 / hr</t>
  </si>
  <si>
    <t>L / sec</t>
  </si>
  <si>
    <t>L / min</t>
  </si>
  <si>
    <t>L / hr</t>
  </si>
  <si>
    <t>cfm</t>
  </si>
  <si>
    <t>gpm</t>
  </si>
  <si>
    <t>L  / min</t>
  </si>
  <si>
    <t xml:space="preserve"> Area</t>
  </si>
  <si>
    <t>cm2</t>
  </si>
  <si>
    <t>m2</t>
  </si>
  <si>
    <t>km2</t>
  </si>
  <si>
    <t>hectre</t>
  </si>
  <si>
    <t>inch2</t>
  </si>
  <si>
    <t>foot2</t>
  </si>
  <si>
    <t>yard2</t>
  </si>
  <si>
    <t>mile2</t>
  </si>
  <si>
    <t>acre2</t>
  </si>
  <si>
    <t>Liquids</t>
  </si>
  <si>
    <t>ml</t>
  </si>
  <si>
    <t>Liters</t>
  </si>
  <si>
    <t>m3</t>
  </si>
  <si>
    <t>ounce</t>
  </si>
  <si>
    <t>pint</t>
  </si>
  <si>
    <t>quart</t>
  </si>
  <si>
    <t>gallon</t>
  </si>
  <si>
    <t>Volume</t>
  </si>
  <si>
    <t>mm3</t>
  </si>
  <si>
    <t>cm3</t>
  </si>
  <si>
    <t>km3</t>
  </si>
  <si>
    <t>in3</t>
  </si>
  <si>
    <t>ft3</t>
  </si>
  <si>
    <t>yd3</t>
  </si>
  <si>
    <t>mile3</t>
  </si>
  <si>
    <t>liter</t>
  </si>
  <si>
    <t>Distance</t>
  </si>
  <si>
    <t xml:space="preserve"> mm</t>
  </si>
  <si>
    <t>cm</t>
  </si>
  <si>
    <t>m</t>
  </si>
  <si>
    <t>km</t>
  </si>
  <si>
    <t>inch</t>
  </si>
  <si>
    <t>foot</t>
  </si>
  <si>
    <t>yard</t>
  </si>
  <si>
    <t>mile</t>
  </si>
  <si>
    <t>naut. Miles</t>
  </si>
  <si>
    <t>Energy</t>
  </si>
  <si>
    <t>Db-257</t>
  </si>
  <si>
    <t>Db-258</t>
  </si>
  <si>
    <t>Db-259</t>
  </si>
  <si>
    <t>Db-260</t>
  </si>
  <si>
    <t>Db-261</t>
  </si>
  <si>
    <t>Db-262</t>
  </si>
  <si>
    <t>Db-263</t>
  </si>
  <si>
    <t>Db-264</t>
  </si>
  <si>
    <t>Db-265</t>
  </si>
  <si>
    <t>Db-266</t>
  </si>
  <si>
    <t>Bh-261</t>
  </si>
  <si>
    <t>Bh-262</t>
  </si>
  <si>
    <t>Bh-263</t>
  </si>
  <si>
    <t>Bh-264</t>
  </si>
  <si>
    <t>Bh-265</t>
  </si>
  <si>
    <t>Bh-266</t>
  </si>
  <si>
    <t>Tc-99m</t>
  </si>
  <si>
    <t>Am-0</t>
  </si>
  <si>
    <t>Bk-0</t>
  </si>
  <si>
    <t>Cf-0</t>
  </si>
  <si>
    <t>Cm-0</t>
  </si>
  <si>
    <t>Es-0</t>
  </si>
  <si>
    <t>Fm-0</t>
  </si>
  <si>
    <t>Db-0</t>
  </si>
  <si>
    <t>Hs-0</t>
  </si>
  <si>
    <t>Lr-0</t>
  </si>
  <si>
    <t>Md-0</t>
  </si>
  <si>
    <t>No-0</t>
  </si>
  <si>
    <t>Np-0</t>
  </si>
  <si>
    <t>Bo-0</t>
  </si>
  <si>
    <t>Pu-0</t>
  </si>
  <si>
    <t>Rf-0</t>
  </si>
  <si>
    <t>Zr-0</t>
  </si>
  <si>
    <r>
      <t xml:space="preserve">Note: Use </t>
    </r>
    <r>
      <rPr>
        <b/>
        <sz val="10"/>
        <color indexed="10"/>
        <rFont val="MS Sans Serif"/>
      </rPr>
      <t>A=0</t>
    </r>
    <r>
      <rPr>
        <b/>
        <sz val="10"/>
        <rFont val="MS Sans Serif"/>
      </rPr>
      <t xml:space="preserve"> for atomic weight, </t>
    </r>
    <r>
      <rPr>
        <b/>
        <sz val="10"/>
        <color indexed="10"/>
        <rFont val="MS Sans Serif"/>
      </rPr>
      <t>A="at no"</t>
    </r>
    <r>
      <rPr>
        <b/>
        <sz val="10"/>
        <rFont val="MS Sans Serif"/>
      </rPr>
      <t xml:space="preserve"> for Isotopic weight</t>
    </r>
  </si>
  <si>
    <t>atomic mass units</t>
  </si>
  <si>
    <t>U</t>
  </si>
  <si>
    <t>Enter in Column C the half-life</t>
  </si>
  <si>
    <t>To calculate the activity of a nuclide per unit of mass</t>
  </si>
  <si>
    <t>To calculate the percentage of a chemical compound that is the element of interest</t>
  </si>
  <si>
    <t>This table lets you determine the fraction of a chemical compound that is comprised of the radionuclide</t>
  </si>
  <si>
    <t>Enter the result (percent by mass) into the "Percent pure isotope" cell (C10)</t>
  </si>
  <si>
    <t>% by mass</t>
  </si>
  <si>
    <t>Mole %</t>
  </si>
  <si>
    <t># atoms</t>
  </si>
  <si>
    <t>atomic mass units per kg=</t>
  </si>
  <si>
    <r>
      <t>Avogadro's Number (N</t>
    </r>
    <r>
      <rPr>
        <b/>
        <sz val="8.5"/>
        <rFont val="MS Sans Serif"/>
      </rPr>
      <t>a)=</t>
    </r>
  </si>
  <si>
    <t>Enter in Column D the unit of time</t>
  </si>
  <si>
    <t>Must Use</t>
  </si>
  <si>
    <t>Half-life information is provided for some - but not all - nuclides.</t>
  </si>
  <si>
    <t>To add half-life information, click on the "Nuclides" tab at the bottom, find the nuclide you're trying to calculate, and enter the half-life and units of time</t>
  </si>
  <si>
    <t>Atomic mass</t>
  </si>
  <si>
    <t>Nuclide</t>
  </si>
  <si>
    <t>Nuclide *</t>
  </si>
  <si>
    <r>
      <t xml:space="preserve">* Enter the nuclide ONLY if you are calculating the weight of a molecule enriched in that nuclide (e.g. </t>
    </r>
    <r>
      <rPr>
        <vertAlign val="superscript"/>
        <sz val="10"/>
        <rFont val="MS Sans Serif"/>
      </rPr>
      <t>235</t>
    </r>
    <r>
      <rPr>
        <sz val="10"/>
        <rFont val="MS Sans Serif"/>
      </rPr>
      <t>UF</t>
    </r>
    <r>
      <rPr>
        <vertAlign val="subscript"/>
        <sz val="10"/>
        <rFont val="MS Sans Serif"/>
      </rPr>
      <t>6</t>
    </r>
    <r>
      <rPr>
        <sz val="10"/>
        <rFont val="MS Sans Serif"/>
      </rPr>
      <t>)</t>
    </r>
  </si>
  <si>
    <t>Note: Not all half-lives have been entered into this spreadsheet, see notes below and on the "Nuclides" tab at bottom.</t>
  </si>
  <si>
    <t># Protons</t>
  </si>
  <si>
    <t># Neutrons</t>
  </si>
  <si>
    <t>seconds per year</t>
  </si>
  <si>
    <t>dps per Ci</t>
  </si>
  <si>
    <t>dps per mCi</t>
  </si>
  <si>
    <t>Ref. Date:</t>
  </si>
  <si>
    <t>Half-life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</si>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</sst>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00"/>
    <numFmt numFmtId="165" formatCode="0.#####E+00"/>
    <numFmt numFmtId="166" formatCode="0.0000"/>
    <numFmt numFmtId="167" formatCode="[Black][&lt;1]0.0E+00;[Black][&gt;1000]0.0E+00;[Blue]0.00E+00"/>
    <numFmt numFmtId="168" formatCode="0.0000E+00"/>
    <numFmt numFmtId="169" formatCode="[Black][&lt;1]0.0E+00;[Black][&gt;1000]0.0E+00;[Blue]##0.0"/>
    <numFmt numFmtId="170" formatCode="[Black][&lt;1]0.00E+00;[Black][&gt;1000]0.00E+00;[Blue]##0.00"/>
    <numFmt numFmtId="171" formatCode="0.0"/>
    <numFmt numFmtId="172" formatCode="0.0%"/>
    <numFmt numFmtId="174" formatCode="_(* #,##0_);_(* \(#,##0\);_(* &quot;-&quot;??_);_(@_)"/>
    <numFmt numFmtId="177" formatCode="[Black][&lt;1]0.00E+00;[Black][&gt;1000]0.00E+00;[Blue]0.000E+00"/>
  </numFmts>
  <fonts count="21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sz val="10"/>
      <name val="MS Sans Serif"/>
    </font>
    <font>
      <sz val="10"/>
      <name val="Symbol"/>
    </font>
    <font>
      <sz val="10"/>
      <name val="Symbol"/>
      <family val="1"/>
      <charset val="2"/>
    </font>
    <font>
      <sz val="10"/>
      <name val="MS Sans Serif"/>
      <family val="2"/>
    </font>
    <font>
      <sz val="8.5"/>
      <name val="MS Sans Serif"/>
      <family val="2"/>
    </font>
    <font>
      <vertAlign val="superscript"/>
      <sz val="10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vertAlign val="superscript"/>
      <sz val="10"/>
      <name val="MS Sans Serif"/>
    </font>
    <font>
      <b/>
      <sz val="8.5"/>
      <name val="MS Sans Serif"/>
      <family val="2"/>
    </font>
    <font>
      <b/>
      <sz val="8.5"/>
      <name val="MS Sans Serif"/>
    </font>
    <font>
      <sz val="8"/>
      <color indexed="81"/>
      <name val="Tahoma"/>
    </font>
    <font>
      <b/>
      <sz val="10"/>
      <color indexed="10"/>
      <name val="MS Sans Serif"/>
    </font>
    <font>
      <b/>
      <sz val="10"/>
      <color rgb="FFC00000"/>
      <name val="MS Sans Serif"/>
    </font>
    <font>
      <b/>
      <sz val="14"/>
      <name val="Calibri"/>
      <family val="2"/>
      <scheme val="minor"/>
    </font>
    <font>
      <b/>
      <sz val="10"/>
      <color rgb="FF0033CC"/>
      <name val="MS Sans Serif"/>
    </font>
    <font>
      <vertAlign val="superscript"/>
      <sz val="10"/>
      <name val="MS Sans Serif"/>
    </font>
    <font>
      <vertAlign val="subscript"/>
      <sz val="10"/>
      <name val="MS Sans Serif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15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3CD"/>
        <bgColor indexed="64"/>
      </patternFill>
    </fill>
    <fill>
      <patternFill patternType="solid">
        <fgColor rgb="FFFFF0C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/>
    <xf numFmtId="11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2" xfId="0" applyBorder="1"/>
    <xf numFmtId="0" fontId="0" fillId="0" borderId="0" xfId="0" applyFill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Protection="1"/>
    <xf numFmtId="0" fontId="1" fillId="0" borderId="3" xfId="0" applyNumberFormat="1" applyFon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>
      <alignment horizontal="center" vertical="center"/>
    </xf>
    <xf numFmtId="165" fontId="1" fillId="0" borderId="2" xfId="0" applyNumberFormat="1" applyFont="1" applyBorder="1" applyProtection="1"/>
    <xf numFmtId="165" fontId="0" fillId="0" borderId="0" xfId="0" applyNumberFormat="1"/>
    <xf numFmtId="165" fontId="1" fillId="3" borderId="2" xfId="0" applyNumberFormat="1" applyFont="1" applyFill="1" applyBorder="1" applyProtection="1"/>
    <xf numFmtId="165" fontId="1" fillId="0" borderId="5" xfId="0" applyNumberFormat="1" applyFont="1" applyBorder="1" applyProtection="1"/>
    <xf numFmtId="165" fontId="1" fillId="0" borderId="0" xfId="0" applyNumberFormat="1" applyFont="1" applyBorder="1" applyProtection="1"/>
    <xf numFmtId="165" fontId="1" fillId="0" borderId="0" xfId="0" applyNumberFormat="1" applyFont="1" applyProtection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4" borderId="2" xfId="0" applyFont="1" applyFill="1" applyBorder="1"/>
    <xf numFmtId="0" fontId="1" fillId="4" borderId="5" xfId="0" applyFont="1" applyFill="1" applyBorder="1"/>
    <xf numFmtId="165" fontId="1" fillId="0" borderId="3" xfId="0" applyNumberFormat="1" applyFont="1" applyBorder="1" applyProtection="1"/>
    <xf numFmtId="165" fontId="1" fillId="0" borderId="3" xfId="0" applyNumberFormat="1" applyFont="1" applyBorder="1" applyAlignment="1">
      <alignment horizontal="center" vertical="center"/>
    </xf>
    <xf numFmtId="165" fontId="1" fillId="4" borderId="2" xfId="0" applyNumberFormat="1" applyFont="1" applyFill="1" applyBorder="1" applyProtection="1"/>
    <xf numFmtId="165" fontId="1" fillId="0" borderId="0" xfId="0" applyNumberFormat="1" applyFont="1" applyAlignment="1" applyProtection="1">
      <alignment horizontal="center"/>
    </xf>
    <xf numFmtId="165" fontId="1" fillId="0" borderId="3" xfId="0" applyNumberFormat="1" applyFont="1" applyBorder="1" applyAlignment="1" applyProtection="1">
      <alignment horizontal="center" vertical="center"/>
    </xf>
    <xf numFmtId="165" fontId="1" fillId="0" borderId="6" xfId="0" applyNumberFormat="1" applyFont="1" applyBorder="1" applyAlignment="1" applyProtection="1">
      <alignment horizontal="center" vertical="center"/>
    </xf>
    <xf numFmtId="165" fontId="1" fillId="0" borderId="7" xfId="0" applyNumberFormat="1" applyFont="1" applyBorder="1" applyProtection="1"/>
    <xf numFmtId="165" fontId="1" fillId="4" borderId="7" xfId="0" applyNumberFormat="1" applyFont="1" applyFill="1" applyBorder="1" applyProtection="1"/>
    <xf numFmtId="165" fontId="1" fillId="2" borderId="7" xfId="0" applyNumberFormat="1" applyFont="1" applyFill="1" applyBorder="1" applyProtection="1"/>
    <xf numFmtId="165" fontId="1" fillId="0" borderId="8" xfId="0" applyNumberFormat="1" applyFont="1" applyBorder="1" applyProtection="1"/>
    <xf numFmtId="165" fontId="1" fillId="4" borderId="9" xfId="0" applyNumberFormat="1" applyFont="1" applyFill="1" applyBorder="1" applyProtection="1"/>
    <xf numFmtId="165" fontId="1" fillId="0" borderId="10" xfId="0" applyNumberFormat="1" applyFont="1" applyBorder="1" applyProtection="1"/>
    <xf numFmtId="165" fontId="1" fillId="0" borderId="11" xfId="0" applyNumberFormat="1" applyFont="1" applyBorder="1" applyProtection="1"/>
    <xf numFmtId="165" fontId="1" fillId="4" borderId="11" xfId="0" applyNumberFormat="1" applyFont="1" applyFill="1" applyBorder="1" applyProtection="1"/>
    <xf numFmtId="165" fontId="1" fillId="0" borderId="11" xfId="0" applyNumberFormat="1" applyFont="1" applyFill="1" applyBorder="1" applyProtection="1"/>
    <xf numFmtId="165" fontId="1" fillId="0" borderId="12" xfId="0" applyNumberFormat="1" applyFont="1" applyBorder="1" applyProtection="1"/>
    <xf numFmtId="165" fontId="1" fillId="4" borderId="12" xfId="0" applyNumberFormat="1" applyFont="1" applyFill="1" applyBorder="1" applyProtection="1"/>
    <xf numFmtId="165" fontId="1" fillId="0" borderId="13" xfId="0" applyNumberFormat="1" applyFont="1" applyBorder="1" applyProtection="1"/>
    <xf numFmtId="165" fontId="1" fillId="0" borderId="6" xfId="0" applyNumberFormat="1" applyFont="1" applyBorder="1" applyProtection="1"/>
    <xf numFmtId="165" fontId="1" fillId="0" borderId="7" xfId="0" applyNumberFormat="1" applyFont="1" applyFill="1" applyBorder="1" applyProtection="1"/>
    <xf numFmtId="165" fontId="1" fillId="0" borderId="9" xfId="0" applyNumberFormat="1" applyFont="1" applyFill="1" applyBorder="1" applyProtection="1"/>
    <xf numFmtId="165" fontId="1" fillId="0" borderId="14" xfId="0" applyNumberFormat="1" applyFont="1" applyBorder="1" applyAlignment="1" applyProtection="1">
      <alignment horizontal="center" vertical="center"/>
    </xf>
    <xf numFmtId="165" fontId="1" fillId="0" borderId="15" xfId="0" applyNumberFormat="1" applyFont="1" applyBorder="1" applyProtection="1"/>
    <xf numFmtId="165" fontId="1" fillId="4" borderId="15" xfId="0" applyNumberFormat="1" applyFont="1" applyFill="1" applyBorder="1" applyProtection="1"/>
    <xf numFmtId="165" fontId="1" fillId="0" borderId="9" xfId="0" applyNumberFormat="1" applyFont="1" applyBorder="1" applyProtection="1"/>
    <xf numFmtId="165" fontId="1" fillId="0" borderId="2" xfId="0" applyNumberFormat="1" applyFont="1" applyBorder="1"/>
    <xf numFmtId="165" fontId="1" fillId="4" borderId="2" xfId="0" applyNumberFormat="1" applyFont="1" applyFill="1" applyBorder="1"/>
    <xf numFmtId="165" fontId="1" fillId="4" borderId="5" xfId="0" applyNumberFormat="1" applyFont="1" applyFill="1" applyBorder="1"/>
    <xf numFmtId="165" fontId="1" fillId="0" borderId="0" xfId="0" applyNumberFormat="1" applyFont="1" applyBorder="1"/>
    <xf numFmtId="165" fontId="0" fillId="0" borderId="16" xfId="0" applyNumberFormat="1" applyBorder="1" applyAlignment="1">
      <alignment horizontal="center" vertical="center"/>
    </xf>
    <xf numFmtId="165" fontId="1" fillId="0" borderId="17" xfId="0" applyNumberFormat="1" applyFont="1" applyBorder="1"/>
    <xf numFmtId="165" fontId="1" fillId="4" borderId="18" xfId="0" applyNumberFormat="1" applyFont="1" applyFill="1" applyBorder="1"/>
    <xf numFmtId="165" fontId="1" fillId="0" borderId="19" xfId="0" applyNumberFormat="1" applyFont="1" applyFill="1" applyBorder="1"/>
    <xf numFmtId="165" fontId="0" fillId="0" borderId="14" xfId="0" applyNumberFormat="1" applyBorder="1"/>
    <xf numFmtId="165" fontId="1" fillId="0" borderId="15" xfId="0" applyNumberFormat="1" applyFont="1" applyBorder="1"/>
    <xf numFmtId="165" fontId="1" fillId="4" borderId="15" xfId="0" applyNumberFormat="1" applyFont="1" applyFill="1" applyBorder="1"/>
    <xf numFmtId="165" fontId="1" fillId="0" borderId="9" xfId="0" applyNumberFormat="1" applyFont="1" applyBorder="1"/>
    <xf numFmtId="0" fontId="0" fillId="0" borderId="20" xfId="0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4" borderId="15" xfId="0" applyFont="1" applyFill="1" applyBorder="1"/>
    <xf numFmtId="0" fontId="1" fillId="4" borderId="7" xfId="0" applyFont="1" applyFill="1" applyBorder="1"/>
    <xf numFmtId="0" fontId="1" fillId="0" borderId="5" xfId="0" applyFont="1" applyBorder="1"/>
    <xf numFmtId="0" fontId="0" fillId="0" borderId="5" xfId="0" applyBorder="1"/>
    <xf numFmtId="0" fontId="0" fillId="0" borderId="21" xfId="0" applyBorder="1"/>
    <xf numFmtId="165" fontId="1" fillId="4" borderId="22" xfId="0" applyNumberFormat="1" applyFont="1" applyFill="1" applyBorder="1" applyProtection="1"/>
    <xf numFmtId="165" fontId="1" fillId="0" borderId="23" xfId="0" applyNumberFormat="1" applyFont="1" applyBorder="1" applyProtection="1"/>
    <xf numFmtId="0" fontId="1" fillId="0" borderId="6" xfId="0" applyFont="1" applyBorder="1"/>
    <xf numFmtId="0" fontId="1" fillId="0" borderId="7" xfId="0" applyFont="1" applyBorder="1"/>
    <xf numFmtId="0" fontId="1" fillId="4" borderId="9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1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1" fontId="0" fillId="0" borderId="29" xfId="0" applyNumberForma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1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1" fontId="0" fillId="0" borderId="32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/>
    <xf numFmtId="0" fontId="0" fillId="0" borderId="2" xfId="0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37" xfId="0" applyBorder="1"/>
    <xf numFmtId="0" fontId="0" fillId="0" borderId="5" xfId="0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right"/>
    </xf>
    <xf numFmtId="167" fontId="0" fillId="0" borderId="2" xfId="0" applyNumberFormat="1" applyBorder="1" applyProtection="1"/>
    <xf numFmtId="167" fontId="0" fillId="0" borderId="20" xfId="0" applyNumberFormat="1" applyBorder="1" applyProtection="1"/>
    <xf numFmtId="167" fontId="0" fillId="0" borderId="0" xfId="0" applyNumberFormat="1"/>
    <xf numFmtId="167" fontId="0" fillId="3" borderId="2" xfId="0" applyNumberFormat="1" applyFill="1" applyBorder="1" applyProtection="1"/>
    <xf numFmtId="167" fontId="0" fillId="3" borderId="20" xfId="0" applyNumberFormat="1" applyFill="1" applyBorder="1" applyProtection="1"/>
    <xf numFmtId="167" fontId="0" fillId="0" borderId="0" xfId="0" applyNumberFormat="1" applyFill="1"/>
    <xf numFmtId="167" fontId="0" fillId="0" borderId="5" xfId="0" applyNumberFormat="1" applyBorder="1" applyProtection="1"/>
    <xf numFmtId="167" fontId="0" fillId="0" borderId="21" xfId="0" applyNumberFormat="1" applyBorder="1" applyProtection="1"/>
    <xf numFmtId="167" fontId="0" fillId="0" borderId="0" xfId="0" applyNumberFormat="1" applyBorder="1" applyProtection="1"/>
    <xf numFmtId="167" fontId="0" fillId="0" borderId="0" xfId="0" applyNumberFormat="1" applyProtection="1"/>
    <xf numFmtId="167" fontId="1" fillId="0" borderId="3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167" fontId="0" fillId="0" borderId="2" xfId="0" applyNumberFormat="1" applyBorder="1"/>
    <xf numFmtId="167" fontId="0" fillId="0" borderId="20" xfId="0" applyNumberFormat="1" applyBorder="1"/>
    <xf numFmtId="167" fontId="0" fillId="4" borderId="2" xfId="0" applyNumberFormat="1" applyFill="1" applyBorder="1"/>
    <xf numFmtId="167" fontId="0" fillId="4" borderId="20" xfId="0" applyNumberFormat="1" applyFill="1" applyBorder="1"/>
    <xf numFmtId="167" fontId="0" fillId="4" borderId="5" xfId="0" applyNumberFormat="1" applyFill="1" applyBorder="1"/>
    <xf numFmtId="167" fontId="0" fillId="4" borderId="21" xfId="0" applyNumberFormat="1" applyFill="1" applyBorder="1"/>
    <xf numFmtId="167" fontId="0" fillId="0" borderId="5" xfId="0" applyNumberFormat="1" applyBorder="1"/>
    <xf numFmtId="167" fontId="0" fillId="0" borderId="21" xfId="0" applyNumberFormat="1" applyBorder="1"/>
    <xf numFmtId="167" fontId="0" fillId="0" borderId="0" xfId="0" applyNumberFormat="1" applyBorder="1"/>
    <xf numFmtId="167" fontId="0" fillId="0" borderId="0" xfId="0" applyNumberFormat="1" applyAlignment="1">
      <alignment horizontal="center"/>
    </xf>
    <xf numFmtId="167" fontId="1" fillId="0" borderId="6" xfId="0" applyNumberFormat="1" applyFont="1" applyBorder="1" applyAlignment="1">
      <alignment horizontal="center" vertical="center"/>
    </xf>
    <xf numFmtId="167" fontId="1" fillId="0" borderId="38" xfId="0" applyNumberFormat="1" applyFont="1" applyBorder="1" applyAlignment="1">
      <alignment horizontal="center" vertical="center"/>
    </xf>
    <xf numFmtId="167" fontId="0" fillId="2" borderId="7" xfId="0" applyNumberFormat="1" applyFill="1" applyBorder="1"/>
    <xf numFmtId="167" fontId="0" fillId="2" borderId="39" xfId="0" applyNumberFormat="1" applyFill="1" applyBorder="1"/>
    <xf numFmtId="167" fontId="0" fillId="4" borderId="7" xfId="0" applyNumberFormat="1" applyFill="1" applyBorder="1"/>
    <xf numFmtId="167" fontId="0" fillId="4" borderId="39" xfId="0" applyNumberFormat="1" applyFill="1" applyBorder="1"/>
    <xf numFmtId="167" fontId="0" fillId="0" borderId="8" xfId="0" applyNumberFormat="1" applyBorder="1"/>
    <xf numFmtId="167" fontId="0" fillId="0" borderId="40" xfId="0" applyNumberFormat="1" applyBorder="1"/>
    <xf numFmtId="167" fontId="0" fillId="0" borderId="41" xfId="0" applyNumberFormat="1" applyBorder="1"/>
    <xf numFmtId="167" fontId="0" fillId="4" borderId="9" xfId="0" applyNumberFormat="1" applyFill="1" applyBorder="1"/>
    <xf numFmtId="167" fontId="1" fillId="0" borderId="16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42" xfId="0" applyNumberFormat="1" applyFont="1" applyBorder="1" applyAlignment="1">
      <alignment horizontal="center" vertical="center"/>
    </xf>
    <xf numFmtId="167" fontId="0" fillId="0" borderId="7" xfId="0" applyNumberFormat="1" applyBorder="1" applyProtection="1"/>
    <xf numFmtId="167" fontId="0" fillId="0" borderId="39" xfId="0" applyNumberFormat="1" applyBorder="1" applyProtection="1"/>
    <xf numFmtId="167" fontId="0" fillId="4" borderId="7" xfId="0" applyNumberFormat="1" applyFill="1" applyBorder="1" applyProtection="1"/>
    <xf numFmtId="167" fontId="0" fillId="4" borderId="39" xfId="0" applyNumberFormat="1" applyFill="1" applyBorder="1" applyProtection="1"/>
    <xf numFmtId="167" fontId="0" fillId="0" borderId="7" xfId="0" applyNumberFormat="1" applyFill="1" applyBorder="1" applyProtection="1"/>
    <xf numFmtId="167" fontId="0" fillId="0" borderId="39" xfId="0" applyNumberFormat="1" applyFill="1" applyBorder="1" applyProtection="1"/>
    <xf numFmtId="167" fontId="0" fillId="0" borderId="43" xfId="0" applyNumberFormat="1" applyBorder="1"/>
    <xf numFmtId="167" fontId="0" fillId="0" borderId="9" xfId="0" applyNumberFormat="1" applyBorder="1" applyProtection="1"/>
    <xf numFmtId="167" fontId="1" fillId="0" borderId="6" xfId="0" applyNumberFormat="1" applyFont="1" applyBorder="1" applyAlignment="1" applyProtection="1">
      <alignment horizontal="center" vertical="center"/>
    </xf>
    <xf numFmtId="167" fontId="1" fillId="0" borderId="38" xfId="0" applyNumberFormat="1" applyFont="1" applyBorder="1" applyAlignment="1" applyProtection="1">
      <alignment horizontal="center" vertical="center"/>
    </xf>
    <xf numFmtId="167" fontId="0" fillId="0" borderId="9" xfId="0" applyNumberFormat="1" applyFill="1" applyBorder="1" applyProtection="1"/>
    <xf numFmtId="167" fontId="0" fillId="0" borderId="21" xfId="0" applyNumberFormat="1" applyFill="1" applyBorder="1" applyProtection="1"/>
    <xf numFmtId="167" fontId="1" fillId="0" borderId="14" xfId="0" applyNumberFormat="1" applyFont="1" applyBorder="1" applyAlignment="1">
      <alignment horizontal="center" vertical="center"/>
    </xf>
    <xf numFmtId="167" fontId="0" fillId="0" borderId="15" xfId="0" applyNumberFormat="1" applyBorder="1"/>
    <xf numFmtId="167" fontId="0" fillId="4" borderId="15" xfId="0" applyNumberFormat="1" applyFill="1" applyBorder="1"/>
    <xf numFmtId="167" fontId="0" fillId="0" borderId="9" xfId="0" applyNumberFormat="1" applyBorder="1"/>
    <xf numFmtId="167" fontId="1" fillId="0" borderId="0" xfId="0" applyNumberFormat="1" applyFont="1"/>
    <xf numFmtId="167" fontId="0" fillId="0" borderId="20" xfId="0" applyNumberFormat="1" applyBorder="1" applyAlignment="1"/>
    <xf numFmtId="167" fontId="0" fillId="4" borderId="22" xfId="0" applyNumberFormat="1" applyFill="1" applyBorder="1"/>
    <xf numFmtId="167" fontId="0" fillId="0" borderId="5" xfId="0" applyNumberFormat="1" applyFill="1" applyBorder="1"/>
    <xf numFmtId="167" fontId="0" fillId="0" borderId="21" xfId="0" applyNumberFormat="1" applyFill="1" applyBorder="1"/>
    <xf numFmtId="167" fontId="1" fillId="0" borderId="1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Fill="1" applyBorder="1"/>
    <xf numFmtId="167" fontId="0" fillId="0" borderId="44" xfId="0" applyNumberFormat="1" applyBorder="1" applyProtection="1"/>
    <xf numFmtId="167" fontId="0" fillId="0" borderId="45" xfId="0" applyNumberFormat="1" applyBorder="1"/>
    <xf numFmtId="167" fontId="0" fillId="0" borderId="7" xfId="0" applyNumberFormat="1" applyBorder="1"/>
    <xf numFmtId="167" fontId="0" fillId="0" borderId="39" xfId="0" applyNumberFormat="1" applyBorder="1"/>
    <xf numFmtId="0" fontId="0" fillId="0" borderId="36" xfId="0" applyNumberFormat="1" applyBorder="1" applyAlignment="1" applyProtection="1">
      <alignment horizontal="center"/>
      <protection locked="0"/>
    </xf>
    <xf numFmtId="0" fontId="0" fillId="3" borderId="36" xfId="0" applyNumberFormat="1" applyFill="1" applyBorder="1" applyAlignment="1" applyProtection="1">
      <alignment horizontal="center"/>
      <protection locked="0"/>
    </xf>
    <xf numFmtId="0" fontId="0" fillId="0" borderId="37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4" borderId="36" xfId="0" applyNumberFormat="1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4" borderId="36" xfId="0" applyNumberFormat="1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0" fontId="0" fillId="2" borderId="36" xfId="0" applyNumberFormat="1" applyFill="1" applyBorder="1" applyAlignment="1" applyProtection="1">
      <alignment horizontal="center"/>
      <protection locked="0"/>
    </xf>
    <xf numFmtId="0" fontId="0" fillId="0" borderId="47" xfId="0" applyNumberFormat="1" applyBorder="1" applyAlignment="1" applyProtection="1">
      <alignment horizontal="center"/>
      <protection locked="0"/>
    </xf>
    <xf numFmtId="0" fontId="0" fillId="2" borderId="48" xfId="0" applyNumberFormat="1" applyFill="1" applyBorder="1" applyAlignment="1" applyProtection="1">
      <alignment horizontal="center" vertical="center"/>
      <protection locked="0"/>
    </xf>
    <xf numFmtId="0" fontId="0" fillId="4" borderId="37" xfId="0" applyNumberFormat="1" applyFill="1" applyBorder="1" applyAlignment="1" applyProtection="1">
      <alignment horizontal="center"/>
      <protection locked="0"/>
    </xf>
    <xf numFmtId="0" fontId="0" fillId="0" borderId="49" xfId="0" applyNumberFormat="1" applyBorder="1" applyAlignment="1" applyProtection="1">
      <alignment horizontal="center"/>
      <protection locked="0"/>
    </xf>
    <xf numFmtId="0" fontId="0" fillId="4" borderId="49" xfId="0" applyNumberFormat="1" applyFill="1" applyBorder="1" applyAlignment="1" applyProtection="1">
      <alignment horizontal="center"/>
      <protection locked="0"/>
    </xf>
    <xf numFmtId="0" fontId="0" fillId="0" borderId="49" xfId="0" applyNumberFormat="1" applyFill="1" applyBorder="1" applyAlignment="1" applyProtection="1">
      <alignment horizontal="center"/>
      <protection locked="0"/>
    </xf>
    <xf numFmtId="0" fontId="0" fillId="0" borderId="50" xfId="0" applyNumberFormat="1" applyBorder="1" applyAlignment="1" applyProtection="1">
      <alignment horizontal="center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0" fontId="0" fillId="4" borderId="50" xfId="0" applyNumberFormat="1" applyFill="1" applyBorder="1" applyAlignment="1" applyProtection="1">
      <alignment horizontal="center"/>
      <protection locked="0"/>
    </xf>
    <xf numFmtId="0" fontId="0" fillId="0" borderId="50" xfId="0" applyNumberFormat="1" applyFill="1" applyBorder="1" applyAlignment="1" applyProtection="1">
      <alignment horizontal="center"/>
      <protection locked="0"/>
    </xf>
    <xf numFmtId="0" fontId="0" fillId="0" borderId="51" xfId="0" applyNumberFormat="1" applyFill="1" applyBorder="1" applyAlignment="1" applyProtection="1">
      <alignment horizontal="center"/>
      <protection locked="0"/>
    </xf>
    <xf numFmtId="0" fontId="0" fillId="0" borderId="48" xfId="0" applyNumberFormat="1" applyBorder="1" applyAlignment="1" applyProtection="1">
      <alignment horizontal="center"/>
      <protection locked="0"/>
    </xf>
    <xf numFmtId="0" fontId="0" fillId="4" borderId="48" xfId="0" applyNumberFormat="1" applyFill="1" applyBorder="1" applyAlignment="1" applyProtection="1">
      <alignment horizontal="center"/>
      <protection locked="0"/>
    </xf>
    <xf numFmtId="0" fontId="0" fillId="0" borderId="51" xfId="0" applyNumberFormat="1" applyBorder="1" applyAlignment="1" applyProtection="1">
      <alignment horizontal="center"/>
      <protection locked="0"/>
    </xf>
    <xf numFmtId="0" fontId="0" fillId="0" borderId="48" xfId="0" applyNumberFormat="1" applyBorder="1" applyAlignment="1" applyProtection="1">
      <alignment horizontal="center" vertical="center"/>
      <protection locked="0"/>
    </xf>
    <xf numFmtId="0" fontId="0" fillId="4" borderId="48" xfId="0" applyNumberFormat="1" applyFill="1" applyBorder="1" applyAlignment="1" applyProtection="1">
      <alignment horizontal="center" vertical="center"/>
      <protection locked="0"/>
    </xf>
    <xf numFmtId="0" fontId="0" fillId="4" borderId="51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36" xfId="0" applyNumberFormat="1" applyBorder="1" applyAlignment="1" applyProtection="1">
      <alignment horizontal="center" vertical="center"/>
      <protection locked="0"/>
    </xf>
    <xf numFmtId="0" fontId="0" fillId="4" borderId="37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4" borderId="48" xfId="0" applyFill="1" applyBorder="1" applyAlignment="1" applyProtection="1">
      <alignment horizontal="center" vertical="center"/>
      <protection locked="0"/>
    </xf>
    <xf numFmtId="0" fontId="0" fillId="4" borderId="50" xfId="0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2" xfId="0" applyNumberFormat="1" applyBorder="1" applyAlignment="1" applyProtection="1">
      <alignment horizontal="center"/>
      <protection locked="0"/>
    </xf>
    <xf numFmtId="0" fontId="0" fillId="4" borderId="53" xfId="0" applyNumberFormat="1" applyFill="1" applyBorder="1" applyAlignment="1" applyProtection="1">
      <alignment horizontal="center"/>
      <protection locked="0"/>
    </xf>
    <xf numFmtId="0" fontId="0" fillId="0" borderId="23" xfId="0" applyNumberForma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4" borderId="51" xfId="0" applyFill="1" applyBorder="1" applyAlignment="1" applyProtection="1">
      <alignment horizontal="center" vertical="center"/>
      <protection locked="0"/>
    </xf>
    <xf numFmtId="167" fontId="3" fillId="0" borderId="0" xfId="0" applyNumberFormat="1" applyFont="1" applyAlignment="1">
      <alignment horizontal="left"/>
    </xf>
    <xf numFmtId="0" fontId="1" fillId="0" borderId="54" xfId="0" applyFont="1" applyBorder="1" applyAlignment="1" applyProtection="1">
      <alignment horizontal="center" vertic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 vertic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 vertical="center"/>
    </xf>
    <xf numFmtId="0" fontId="1" fillId="0" borderId="56" xfId="0" applyNumberFormat="1" applyFont="1" applyBorder="1" applyAlignment="1" applyProtection="1">
      <alignment horizontal="center"/>
    </xf>
    <xf numFmtId="0" fontId="1" fillId="0" borderId="56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2" fontId="0" fillId="0" borderId="36" xfId="0" applyNumberFormat="1" applyBorder="1" applyAlignment="1" applyProtection="1">
      <alignment horizontal="center"/>
      <protection locked="0"/>
    </xf>
    <xf numFmtId="2" fontId="0" fillId="4" borderId="36" xfId="0" applyNumberFormat="1" applyFill="1" applyBorder="1" applyAlignment="1" applyProtection="1">
      <alignment horizontal="center"/>
      <protection locked="0"/>
    </xf>
    <xf numFmtId="2" fontId="0" fillId="0" borderId="37" xfId="0" applyNumberFormat="1" applyBorder="1" applyAlignment="1" applyProtection="1">
      <alignment horizontal="center"/>
      <protection locked="0"/>
    </xf>
    <xf numFmtId="0" fontId="6" fillId="0" borderId="0" xfId="0" applyFont="1"/>
    <xf numFmtId="11" fontId="0" fillId="0" borderId="36" xfId="0" applyNumberFormat="1" applyBorder="1" applyAlignment="1" applyProtection="1">
      <alignment horizontal="center"/>
      <protection locked="0"/>
    </xf>
    <xf numFmtId="11" fontId="0" fillId="3" borderId="36" xfId="0" applyNumberFormat="1" applyFill="1" applyBorder="1" applyAlignment="1" applyProtection="1">
      <alignment horizontal="center"/>
      <protection locked="0"/>
    </xf>
    <xf numFmtId="0" fontId="0" fillId="0" borderId="54" xfId="0" applyBorder="1"/>
    <xf numFmtId="0" fontId="0" fillId="0" borderId="16" xfId="0" applyBorder="1"/>
    <xf numFmtId="0" fontId="0" fillId="0" borderId="57" xfId="0" applyBorder="1"/>
    <xf numFmtId="0" fontId="0" fillId="0" borderId="52" xfId="0" applyBorder="1"/>
    <xf numFmtId="0" fontId="1" fillId="0" borderId="0" xfId="0" applyFont="1" applyBorder="1" applyAlignment="1">
      <alignment horizontal="center" vertical="center"/>
    </xf>
    <xf numFmtId="0" fontId="0" fillId="0" borderId="43" xfId="0" applyBorder="1"/>
    <xf numFmtId="0" fontId="1" fillId="0" borderId="52" xfId="0" applyFont="1" applyBorder="1"/>
    <xf numFmtId="0" fontId="0" fillId="0" borderId="0" xfId="0" applyBorder="1"/>
    <xf numFmtId="0" fontId="0" fillId="0" borderId="46" xfId="0" applyBorder="1"/>
    <xf numFmtId="0" fontId="0" fillId="0" borderId="23" xfId="0" applyBorder="1"/>
    <xf numFmtId="0" fontId="0" fillId="0" borderId="45" xfId="0" applyBorder="1"/>
    <xf numFmtId="0" fontId="5" fillId="0" borderId="43" xfId="0" applyFont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1" fillId="0" borderId="54" xfId="0" applyNumberFormat="1" applyFont="1" applyBorder="1" applyAlignment="1">
      <alignment horizontal="center" vertical="center"/>
    </xf>
    <xf numFmtId="11" fontId="0" fillId="3" borderId="37" xfId="0" applyNumberFormat="1" applyFill="1" applyBorder="1" applyAlignment="1" applyProtection="1">
      <alignment horizontal="center"/>
      <protection locked="0"/>
    </xf>
    <xf numFmtId="165" fontId="1" fillId="3" borderId="5" xfId="0" applyNumberFormat="1" applyFont="1" applyFill="1" applyBorder="1" applyProtection="1"/>
    <xf numFmtId="0" fontId="0" fillId="0" borderId="0" xfId="0" applyAlignment="1"/>
    <xf numFmtId="0" fontId="0" fillId="0" borderId="52" xfId="0" applyBorder="1" applyAlignment="1"/>
    <xf numFmtId="168" fontId="0" fillId="0" borderId="0" xfId="0" applyNumberFormat="1"/>
    <xf numFmtId="0" fontId="1" fillId="0" borderId="0" xfId="0" applyFont="1" applyAlignment="1"/>
    <xf numFmtId="0" fontId="0" fillId="0" borderId="17" xfId="0" applyNumberFormat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167" fontId="1" fillId="0" borderId="54" xfId="0" applyNumberFormat="1" applyFont="1" applyBorder="1" applyAlignment="1">
      <alignment horizontal="center" vertical="center"/>
    </xf>
    <xf numFmtId="0" fontId="0" fillId="4" borderId="19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4" borderId="17" xfId="0" applyNumberFormat="1" applyFill="1" applyBorder="1" applyAlignment="1" applyProtection="1">
      <alignment horizontal="left"/>
      <protection locked="0"/>
    </xf>
    <xf numFmtId="0" fontId="0" fillId="4" borderId="19" xfId="0" applyNumberFormat="1" applyFill="1" applyBorder="1" applyAlignment="1" applyProtection="1">
      <alignment horizontal="left"/>
      <protection locked="0"/>
    </xf>
    <xf numFmtId="167" fontId="0" fillId="6" borderId="21" xfId="0" applyNumberFormat="1" applyFill="1" applyBorder="1"/>
    <xf numFmtId="167" fontId="0" fillId="6" borderId="37" xfId="0" applyNumberFormat="1" applyFill="1" applyBorder="1"/>
    <xf numFmtId="0" fontId="1" fillId="0" borderId="16" xfId="0" applyNumberFormat="1" applyFont="1" applyBorder="1" applyAlignment="1" applyProtection="1">
      <alignment horizontal="center"/>
    </xf>
    <xf numFmtId="0" fontId="9" fillId="6" borderId="0" xfId="0" applyNumberFormat="1" applyFont="1" applyFill="1" applyAlignment="1" applyProtection="1">
      <alignment horizontal="center"/>
      <protection locked="0"/>
    </xf>
    <xf numFmtId="165" fontId="10" fillId="6" borderId="0" xfId="0" applyNumberFormat="1" applyFont="1" applyFill="1" applyProtection="1"/>
    <xf numFmtId="167" fontId="9" fillId="6" borderId="0" xfId="0" applyNumberFormat="1" applyFont="1" applyFill="1"/>
    <xf numFmtId="0" fontId="0" fillId="0" borderId="22" xfId="0" applyNumberFormat="1" applyBorder="1" applyAlignment="1" applyProtection="1">
      <alignment horizontal="center"/>
      <protection locked="0"/>
    </xf>
    <xf numFmtId="0" fontId="0" fillId="6" borderId="22" xfId="0" applyNumberFormat="1" applyFill="1" applyBorder="1" applyAlignment="1" applyProtection="1">
      <alignment horizontal="center"/>
      <protection locked="0"/>
    </xf>
    <xf numFmtId="11" fontId="0" fillId="0" borderId="36" xfId="0" applyNumberFormat="1" applyBorder="1"/>
    <xf numFmtId="11" fontId="0" fillId="6" borderId="36" xfId="0" applyNumberFormat="1" applyFill="1" applyBorder="1"/>
    <xf numFmtId="11" fontId="0" fillId="2" borderId="36" xfId="0" applyNumberFormat="1" applyFill="1" applyBorder="1" applyAlignment="1" applyProtection="1">
      <alignment horizontal="center"/>
      <protection locked="0"/>
    </xf>
    <xf numFmtId="11" fontId="0" fillId="6" borderId="58" xfId="0" applyNumberFormat="1" applyFill="1" applyBorder="1"/>
    <xf numFmtId="11" fontId="0" fillId="0" borderId="58" xfId="0" applyNumberFormat="1" applyBorder="1"/>
    <xf numFmtId="169" fontId="0" fillId="6" borderId="12" xfId="0" applyNumberFormat="1" applyFill="1" applyBorder="1"/>
    <xf numFmtId="169" fontId="0" fillId="0" borderId="12" xfId="0" applyNumberFormat="1" applyBorder="1"/>
    <xf numFmtId="170" fontId="0" fillId="6" borderId="12" xfId="0" applyNumberFormat="1" applyFill="1" applyBorder="1"/>
    <xf numFmtId="170" fontId="0" fillId="0" borderId="12" xfId="0" applyNumberFormat="1" applyBorder="1"/>
    <xf numFmtId="0" fontId="0" fillId="0" borderId="0" xfId="0" applyAlignment="1">
      <alignment wrapText="1"/>
    </xf>
    <xf numFmtId="0" fontId="1" fillId="0" borderId="0" xfId="0" applyFont="1" applyBorder="1"/>
    <xf numFmtId="0" fontId="1" fillId="0" borderId="23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0" xfId="0" applyFont="1" applyBorder="1"/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wrapText="1"/>
    </xf>
    <xf numFmtId="0" fontId="0" fillId="0" borderId="60" xfId="0" applyBorder="1"/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1" fontId="0" fillId="0" borderId="0" xfId="0" applyNumberFormat="1" applyAlignment="1">
      <alignment horizontal="center"/>
    </xf>
    <xf numFmtId="0" fontId="0" fillId="7" borderId="52" xfId="0" applyFill="1" applyBorder="1" applyAlignment="1"/>
    <xf numFmtId="0" fontId="0" fillId="7" borderId="0" xfId="0" applyFill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0" fillId="9" borderId="52" xfId="0" applyFill="1" applyBorder="1"/>
    <xf numFmtId="0" fontId="0" fillId="9" borderId="0" xfId="0" applyFill="1" applyAlignment="1">
      <alignment horizontal="center"/>
    </xf>
    <xf numFmtId="0" fontId="0" fillId="9" borderId="52" xfId="0" applyFill="1" applyBorder="1" applyAlignment="1">
      <alignment wrapText="1"/>
    </xf>
    <xf numFmtId="0" fontId="0" fillId="9" borderId="0" xfId="0" applyFill="1" applyAlignment="1">
      <alignment horizontal="center" wrapText="1"/>
    </xf>
    <xf numFmtId="0" fontId="0" fillId="0" borderId="52" xfId="0" applyFill="1" applyBorder="1"/>
    <xf numFmtId="0" fontId="0" fillId="0" borderId="0" xfId="0" applyFill="1" applyAlignment="1">
      <alignment horizontal="center"/>
    </xf>
    <xf numFmtId="11" fontId="0" fillId="9" borderId="0" xfId="0" applyNumberFormat="1" applyFill="1" applyAlignment="1">
      <alignment horizontal="center"/>
    </xf>
    <xf numFmtId="168" fontId="0" fillId="0" borderId="0" xfId="0" applyNumberFormat="1" applyBorder="1"/>
    <xf numFmtId="0" fontId="1" fillId="10" borderId="0" xfId="0" applyFont="1" applyFill="1" applyAlignment="1"/>
    <xf numFmtId="0" fontId="0" fillId="10" borderId="0" xfId="0" applyFont="1" applyFill="1" applyAlignment="1"/>
    <xf numFmtId="171" fontId="0" fillId="7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171" fontId="0" fillId="9" borderId="0" xfId="0" applyNumberFormat="1" applyFill="1" applyAlignment="1">
      <alignment horizontal="center"/>
    </xf>
    <xf numFmtId="171" fontId="0" fillId="9" borderId="0" xfId="0" applyNumberFormat="1" applyFill="1" applyAlignment="1">
      <alignment horizontal="center" wrapText="1"/>
    </xf>
    <xf numFmtId="171" fontId="0" fillId="0" borderId="0" xfId="0" applyNumberFormat="1" applyFill="1" applyAlignment="1">
      <alignment horizontal="center"/>
    </xf>
    <xf numFmtId="0" fontId="16" fillId="12" borderId="0" xfId="0" applyFont="1" applyFill="1"/>
    <xf numFmtId="0" fontId="0" fillId="12" borderId="0" xfId="0" applyFill="1"/>
    <xf numFmtId="0" fontId="0" fillId="5" borderId="1" xfId="0" applyFill="1" applyBorder="1" applyAlignment="1" applyProtection="1">
      <alignment horizontal="center"/>
    </xf>
    <xf numFmtId="0" fontId="1" fillId="6" borderId="59" xfId="0" applyFont="1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5" borderId="35" xfId="0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5" fillId="0" borderId="0" xfId="0" applyFont="1" applyBorder="1"/>
    <xf numFmtId="0" fontId="1" fillId="0" borderId="23" xfId="0" applyFont="1" applyBorder="1"/>
    <xf numFmtId="167" fontId="0" fillId="0" borderId="0" xfId="0" applyNumberFormat="1" applyBorder="1" applyAlignment="1">
      <alignment horizontal="center"/>
    </xf>
    <xf numFmtId="0" fontId="0" fillId="0" borderId="52" xfId="0" applyBorder="1" applyAlignment="1">
      <alignment horizontal="right"/>
    </xf>
    <xf numFmtId="0" fontId="12" fillId="0" borderId="2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61" xfId="0" applyBorder="1"/>
    <xf numFmtId="0" fontId="0" fillId="0" borderId="61" xfId="0" applyFont="1" applyFill="1" applyBorder="1" applyAlignment="1"/>
    <xf numFmtId="0" fontId="0" fillId="0" borderId="61" xfId="0" applyBorder="1" applyAlignment="1"/>
    <xf numFmtId="167" fontId="0" fillId="0" borderId="61" xfId="0" applyNumberFormat="1" applyBorder="1"/>
    <xf numFmtId="0" fontId="1" fillId="0" borderId="0" xfId="0" applyFont="1" applyFill="1" applyBorder="1"/>
    <xf numFmtId="0" fontId="18" fillId="0" borderId="0" xfId="0" applyFont="1"/>
    <xf numFmtId="168" fontId="0" fillId="0" borderId="0" xfId="0" applyNumberFormat="1" applyAlignment="1"/>
    <xf numFmtId="172" fontId="0" fillId="0" borderId="60" xfId="1" applyNumberFormat="1" applyFont="1" applyBorder="1" applyAlignment="1">
      <alignment horizontal="center"/>
    </xf>
    <xf numFmtId="172" fontId="1" fillId="6" borderId="59" xfId="1" applyNumberFormat="1" applyFont="1" applyFill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1" fillId="6" borderId="59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2" fontId="1" fillId="6" borderId="1" xfId="0" applyNumberFormat="1" applyFont="1" applyFill="1" applyBorder="1" applyAlignment="1">
      <alignment horizontal="center"/>
    </xf>
    <xf numFmtId="11" fontId="1" fillId="6" borderId="1" xfId="0" applyNumberFormat="1" applyFont="1" applyFill="1" applyBorder="1" applyAlignment="1">
      <alignment horizontal="center"/>
    </xf>
    <xf numFmtId="0" fontId="17" fillId="0" borderId="1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1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 applyProtection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10" fillId="11" borderId="44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  <xf numFmtId="0" fontId="16" fillId="14" borderId="0" xfId="0" applyFont="1" applyFill="1" applyAlignment="1">
      <alignment horizontal="left" wrapText="1"/>
    </xf>
    <xf numFmtId="0" fontId="16" fillId="14" borderId="43" xfId="0" applyFont="1" applyFill="1" applyBorder="1" applyAlignment="1">
      <alignment horizontal="left" wrapText="1"/>
    </xf>
    <xf numFmtId="0" fontId="16" fillId="14" borderId="0" xfId="0" applyFont="1" applyFill="1" applyAlignment="1">
      <alignment horizontal="left" vertical="center" wrapText="1"/>
    </xf>
    <xf numFmtId="0" fontId="16" fillId="14" borderId="43" xfId="0" applyFont="1" applyFill="1" applyBorder="1" applyAlignment="1">
      <alignment horizontal="left" vertical="center" wrapText="1"/>
    </xf>
    <xf numFmtId="0" fontId="17" fillId="13" borderId="44" xfId="0" applyFont="1" applyFill="1" applyBorder="1" applyAlignment="1">
      <alignment horizontal="center" vertical="center"/>
    </xf>
    <xf numFmtId="0" fontId="17" fillId="1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6" fillId="0" borderId="28" xfId="0" applyFont="1" applyBorder="1" applyAlignment="1">
      <alignment horizontal="left" wrapText="1"/>
    </xf>
    <xf numFmtId="174" fontId="0" fillId="0" borderId="0" xfId="2" applyNumberFormat="1" applyFont="1"/>
    <xf numFmtId="0" fontId="1" fillId="0" borderId="52" xfId="0" applyFont="1" applyBorder="1" applyAlignment="1">
      <alignment horizontal="right"/>
    </xf>
    <xf numFmtId="0" fontId="1" fillId="0" borderId="5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3" xfId="0" applyFont="1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57" xfId="0" applyFont="1" applyFill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11" fontId="0" fillId="0" borderId="0" xfId="0" applyNumberFormat="1" applyAlignment="1"/>
    <xf numFmtId="0" fontId="0" fillId="0" borderId="62" xfId="0" applyNumberFormat="1" applyBorder="1" applyAlignment="1" applyProtection="1">
      <alignment horizontal="left"/>
      <protection locked="0"/>
    </xf>
    <xf numFmtId="0" fontId="0" fillId="6" borderId="62" xfId="0" applyNumberFormat="1" applyFill="1" applyBorder="1" applyAlignment="1" applyProtection="1">
      <alignment horizontal="left"/>
      <protection locked="0"/>
    </xf>
    <xf numFmtId="0" fontId="0" fillId="0" borderId="63" xfId="0" applyNumberFormat="1" applyBorder="1" applyAlignment="1" applyProtection="1">
      <alignment horizontal="left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3CD"/>
      <color rgb="FF0033CC"/>
      <color rgb="FFFFF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abSelected="1" workbookViewId="0">
      <selection activeCell="L33" sqref="L33"/>
    </sheetView>
  </sheetViews>
  <sheetFormatPr defaultRowHeight="12.75" x14ac:dyDescent="0.2"/>
  <cols>
    <col min="2" max="2" width="12" customWidth="1"/>
    <col min="5" max="5" width="9.85546875" customWidth="1"/>
    <col min="6" max="6" width="10.28515625" bestFit="1" customWidth="1"/>
    <col min="7" max="7" width="12" customWidth="1"/>
    <col min="10" max="10" width="1.5703125" customWidth="1"/>
    <col min="11" max="11" width="10.42578125" customWidth="1"/>
    <col min="12" max="12" width="8.5703125" customWidth="1"/>
    <col min="13" max="13" width="9.85546875" customWidth="1"/>
    <col min="14" max="14" width="12.42578125" bestFit="1" customWidth="1"/>
    <col min="15" max="15" width="11.140625" customWidth="1"/>
    <col min="16" max="16" width="10.28515625" customWidth="1"/>
    <col min="18" max="18" width="6" customWidth="1"/>
    <col min="19" max="19" width="7.7109375" customWidth="1"/>
    <col min="20" max="20" width="0" hidden="1" customWidth="1"/>
    <col min="21" max="21" width="9.85546875" customWidth="1"/>
  </cols>
  <sheetData>
    <row r="1" spans="1:22" ht="23.25" customHeight="1" x14ac:dyDescent="0.2">
      <c r="A1" s="347" t="s">
        <v>3186</v>
      </c>
      <c r="B1" s="347"/>
      <c r="C1" s="347"/>
      <c r="D1" s="347"/>
      <c r="E1" s="347"/>
      <c r="F1" s="347"/>
      <c r="G1" s="347"/>
      <c r="H1" s="347"/>
      <c r="I1" s="347"/>
      <c r="J1" s="330"/>
      <c r="K1" s="346" t="s">
        <v>3187</v>
      </c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31"/>
    </row>
    <row r="2" spans="1:22" x14ac:dyDescent="0.2">
      <c r="A2" s="295" t="s">
        <v>156</v>
      </c>
      <c r="B2" s="296" t="s">
        <v>157</v>
      </c>
      <c r="C2" s="296"/>
      <c r="D2" s="296"/>
      <c r="E2" s="296"/>
      <c r="F2" s="296"/>
      <c r="G2" s="296"/>
      <c r="H2" s="296"/>
      <c r="I2" s="296"/>
      <c r="J2" s="316"/>
    </row>
    <row r="3" spans="1:22" s="242" customFormat="1" x14ac:dyDescent="0.2">
      <c r="A3" s="348" t="s">
        <v>3203</v>
      </c>
      <c r="B3" s="348"/>
      <c r="C3" s="348"/>
      <c r="D3" s="348"/>
      <c r="E3" s="348"/>
      <c r="F3" s="348"/>
      <c r="G3" s="348"/>
      <c r="H3" s="348"/>
      <c r="I3" s="349"/>
      <c r="J3" s="317"/>
      <c r="K3" s="242" t="s">
        <v>3188</v>
      </c>
      <c r="S3"/>
    </row>
    <row r="4" spans="1:22" s="242" customFormat="1" ht="13.5" customHeight="1" x14ac:dyDescent="0.2">
      <c r="A4" s="348"/>
      <c r="B4" s="348"/>
      <c r="C4" s="348"/>
      <c r="D4" s="348"/>
      <c r="E4" s="348"/>
      <c r="F4" s="348"/>
      <c r="G4" s="348"/>
      <c r="H4" s="348"/>
      <c r="I4" s="349"/>
      <c r="J4" s="318"/>
      <c r="K4" s="242" t="s">
        <v>3189</v>
      </c>
      <c r="S4"/>
    </row>
    <row r="5" spans="1:22" ht="15.75" customHeight="1" x14ac:dyDescent="0.2">
      <c r="A5" s="302" t="s">
        <v>165</v>
      </c>
      <c r="B5" s="303"/>
      <c r="C5" s="303"/>
      <c r="J5" s="316"/>
      <c r="K5" s="245" t="s">
        <v>3182</v>
      </c>
      <c r="L5" s="242"/>
      <c r="M5" s="242"/>
      <c r="N5" s="242"/>
      <c r="O5" s="242"/>
      <c r="P5" s="242"/>
      <c r="Q5" s="242"/>
      <c r="S5" s="242"/>
      <c r="T5" s="242"/>
    </row>
    <row r="6" spans="1:22" x14ac:dyDescent="0.2">
      <c r="E6" s="3" t="s">
        <v>169</v>
      </c>
      <c r="F6" s="3" t="s">
        <v>163</v>
      </c>
      <c r="G6" t="str">
        <f>IF(G9=" ","unknown",IF(G9=0,"Stable","Radioactive"))</f>
        <v>Radioactive</v>
      </c>
      <c r="H6" s="2" t="s">
        <v>171</v>
      </c>
      <c r="J6" s="316"/>
      <c r="L6" s="242"/>
      <c r="M6" s="242"/>
      <c r="N6" s="242"/>
      <c r="O6" s="242"/>
      <c r="S6" s="242"/>
      <c r="T6" s="242"/>
    </row>
    <row r="7" spans="1:22" ht="13.5" thickBot="1" x14ac:dyDescent="0.25">
      <c r="A7" t="s">
        <v>171</v>
      </c>
      <c r="B7" s="2" t="s">
        <v>172</v>
      </c>
      <c r="C7" s="2" t="s">
        <v>3200</v>
      </c>
      <c r="F7" s="3" t="s">
        <v>172</v>
      </c>
      <c r="G7" s="280" t="str">
        <f>IF(C8=0,IF(LEN(B8)&gt;1,UPPER(LEFT(B8,1))&amp;LOWER(RIGHT(B8,1)),UPPER(B8)),IF(LEN(B8)&gt;1,UPPER(LEFT(B8,1))&amp;LOWER(RIGHT(B8,1)&amp;"-"&amp;C8),UPPER(B8)&amp;"-"&amp;C8))</f>
        <v>Co-60</v>
      </c>
      <c r="I7" s="2"/>
      <c r="J7" s="316"/>
      <c r="L7" s="273"/>
      <c r="M7" s="273"/>
      <c r="N7" s="273"/>
      <c r="O7" s="3"/>
    </row>
    <row r="8" spans="1:22" ht="13.5" thickBot="1" x14ac:dyDescent="0.25">
      <c r="A8" s="3" t="s">
        <v>175</v>
      </c>
      <c r="B8" s="238" t="s">
        <v>3211</v>
      </c>
      <c r="C8" s="304">
        <v>60</v>
      </c>
      <c r="E8" s="3" t="str">
        <f>IF(C8=0,"Atomic","Isotopic")</f>
        <v>Isotopic</v>
      </c>
      <c r="F8" s="3" t="s">
        <v>178</v>
      </c>
      <c r="G8" s="333">
        <f>IF(LEN(G7)&gt;2,(VLOOKUP(G7,Nuclides!$A$1:$B$2759,2,0)),(VLOOKUP(G7&amp;"-"&amp;0,Nuclides!$A$1:$B$2759,2,0)))</f>
        <v>59.933821879</v>
      </c>
      <c r="J8" s="316"/>
      <c r="K8" s="340" t="s">
        <v>2960</v>
      </c>
      <c r="L8" s="341"/>
      <c r="M8" s="341"/>
    </row>
    <row r="9" spans="1:22" ht="13.5" thickBot="1" x14ac:dyDescent="0.25">
      <c r="F9" s="3" t="s">
        <v>3210</v>
      </c>
      <c r="G9" s="244">
        <f>IF(LEN(G7)&gt;2,(VLOOKUP(G7,Nuclides!$A$1:$C$2759,3,0)),(VLOOKUP(G7&amp;"-"&amp;0,Nuclides!$A$1:$C$2759,3,0)))</f>
        <v>5.27</v>
      </c>
      <c r="H9" t="str">
        <f>IF(LEN(G7)&gt;2,(VLOOKUP(G7,Nuclides!$A$1:$D$2759,4,0)),(VLOOKUP(G7&amp;"-"&amp;0,Nuclides!$A$1:$D$2759,4,0)))</f>
        <v>year</v>
      </c>
      <c r="J9" s="316"/>
      <c r="K9" s="271"/>
      <c r="L9" s="232"/>
      <c r="M9" s="232"/>
    </row>
    <row r="10" spans="1:22" ht="15" customHeight="1" thickBot="1" x14ac:dyDescent="0.25">
      <c r="A10" s="353" t="s">
        <v>181</v>
      </c>
      <c r="B10" s="354"/>
      <c r="C10" s="336">
        <v>100</v>
      </c>
      <c r="D10" t="s">
        <v>182</v>
      </c>
      <c r="F10" s="3" t="s">
        <v>186</v>
      </c>
      <c r="G10" s="232">
        <f>LN(2)/(G9*'misc conversions'!F3)</f>
        <v>4.167838467861504E-9</v>
      </c>
      <c r="H10" s="232" t="s">
        <v>187</v>
      </c>
      <c r="J10" s="316"/>
      <c r="K10" s="276" t="s">
        <v>172</v>
      </c>
      <c r="L10" s="276" t="s">
        <v>3201</v>
      </c>
      <c r="M10" s="277" t="s">
        <v>3192</v>
      </c>
      <c r="N10" s="277" t="s">
        <v>3199</v>
      </c>
      <c r="O10" s="314" t="s">
        <v>2961</v>
      </c>
      <c r="P10" s="277" t="s">
        <v>3190</v>
      </c>
      <c r="Q10" s="277" t="s">
        <v>3191</v>
      </c>
      <c r="R10" s="277" t="s">
        <v>2962</v>
      </c>
      <c r="S10" s="277" t="s">
        <v>2963</v>
      </c>
    </row>
    <row r="11" spans="1:22" ht="13.5" thickBot="1" x14ac:dyDescent="0.25">
      <c r="A11" s="231"/>
      <c r="B11" s="232"/>
      <c r="I11" s="232"/>
      <c r="J11" s="316"/>
      <c r="K11" s="307" t="s">
        <v>3184</v>
      </c>
      <c r="L11" s="304">
        <v>0</v>
      </c>
      <c r="M11" s="304">
        <v>1</v>
      </c>
      <c r="N11" s="325">
        <f>IF(M11&gt;0,IF(LEN(T11)&gt;2,(VLOOKUP(T11,Nuclides!$A$1:$B$2759,2,0)),(VLOOKUP(T11&amp;"-"&amp;0,Nuclides!$A$1:$B$2759,2,0))),"")</f>
        <v>238.029</v>
      </c>
      <c r="O11" s="325">
        <f>IF(M11&gt;0,M11*IF(LEN(T11)&gt;2,(VLOOKUP(T11,Nuclides!$A$1:$B$2759,2,0)),(VLOOKUP(T11&amp;"-"&amp;0,Nuclides!$A$1:$B$2759,2,0))),0)</f>
        <v>238.029</v>
      </c>
      <c r="P11" s="323">
        <f t="shared" ref="P11:P23" si="0">O11/SUM($O$11:$O$23)</f>
        <v>0.67618144860406537</v>
      </c>
      <c r="Q11" s="323">
        <f t="shared" ref="Q11:Q23" si="1">M11/SUM($M$11:$M$23)</f>
        <v>0.14285714285714285</v>
      </c>
      <c r="R11" s="306">
        <f>IF(M11&gt;0,IF(LEN(T11)&gt;2,(VLOOKUP((T11),Nuclides!$A$1:$E$2759,5,0)),(VLOOKUP(T11&amp;"-"&amp;0,Nuclides!$A$1:$E$2759,5,0))),"")</f>
        <v>92</v>
      </c>
      <c r="S11" s="306">
        <f>IF(M11&gt;0,M11*IF(LEN(T11)&gt;2,(VLOOKUP((T11),Nuclides!$A$1:$E$2759,5,0)),(VLOOKUP(T11&amp;"-"&amp;0,Nuclides!$A$1:$E$2759,5,0))),0)</f>
        <v>92</v>
      </c>
      <c r="T11" s="280" t="str">
        <f t="shared" ref="T11:T23" si="2">IF(L11=0,IF(LEN(K11)&gt;1,UPPER(LEFT(K11,1))&amp;LOWER(RIGHT(K11,1)),UPPER(K11)),IF(LEN(K11)&gt;1,UPPER(LEFT(K11,1))&amp;LOWER(RIGHT(K11,1)),UPPER(K11)&amp;"-"&amp;L11))</f>
        <v>U</v>
      </c>
    </row>
    <row r="12" spans="1:22" ht="13.5" thickBot="1" x14ac:dyDescent="0.25">
      <c r="A12" s="225"/>
      <c r="B12" s="226"/>
      <c r="C12" s="226"/>
      <c r="D12" s="227"/>
      <c r="F12" s="321" t="s">
        <v>166</v>
      </c>
      <c r="J12" s="316"/>
      <c r="K12" s="307" t="s">
        <v>104</v>
      </c>
      <c r="L12" s="304">
        <v>0</v>
      </c>
      <c r="M12" s="304">
        <v>6</v>
      </c>
      <c r="N12" s="325">
        <f>IF(M12&gt;0,IF(LEN(T12)&gt;2,(VLOOKUP(T12,Nuclides!$A$1:$B$2759,2,0)),(VLOOKUP(T12&amp;"-"&amp;0,Nuclides!$A$1:$B$2759,2,0))),"")</f>
        <v>18.998403</v>
      </c>
      <c r="O12" s="325">
        <f>IF(M12&gt;0,M12*IF(LEN(T12)&gt;2,(VLOOKUP(T12,Nuclides!$A$1:$B$2759,2,0)),(VLOOKUP(T12&amp;"-"&amp;0,Nuclides!$A$1:$B$2759,2,0))),0)</f>
        <v>113.99041800000001</v>
      </c>
      <c r="P12" s="323">
        <f t="shared" si="0"/>
        <v>0.32381855139593468</v>
      </c>
      <c r="Q12" s="323">
        <f t="shared" si="1"/>
        <v>0.8571428571428571</v>
      </c>
      <c r="R12" s="306">
        <f>IF(M12&gt;0,IF(LEN(T12)&gt;2,(VLOOKUP((T12),Nuclides!$A$1:$E$2759,5,0)),(VLOOKUP(T12&amp;"-"&amp;0,Nuclides!$A$1:$E$2759,5,0))),"")</f>
        <v>9</v>
      </c>
      <c r="S12" s="306">
        <f>IF(M12&gt;0,M12*IF(LEN(T12)&gt;2,(VLOOKUP((T12),Nuclides!$A$1:$E$2759,5,0)),(VLOOKUP(T12&amp;"-"&amp;0,Nuclides!$A$1:$E$2759,5,0))),0)</f>
        <v>54</v>
      </c>
      <c r="T12" s="280" t="str">
        <f t="shared" si="2"/>
        <v>F</v>
      </c>
    </row>
    <row r="13" spans="1:22" ht="13.5" thickBot="1" x14ac:dyDescent="0.25">
      <c r="A13" s="228"/>
      <c r="B13" s="229" t="s">
        <v>201</v>
      </c>
      <c r="C13" s="229" t="s">
        <v>202</v>
      </c>
      <c r="D13" s="230"/>
      <c r="F13" s="355" t="s">
        <v>197</v>
      </c>
      <c r="G13" s="356"/>
      <c r="H13" s="357"/>
      <c r="J13" s="316"/>
      <c r="K13" s="307"/>
      <c r="L13" s="304">
        <v>0</v>
      </c>
      <c r="M13" s="304">
        <v>0</v>
      </c>
      <c r="N13" s="325" t="str">
        <f>IF(M13&gt;0,IF(LEN(T13)&gt;2,(VLOOKUP(T13,Nuclides!$A$1:$B$2759,2,0)),(VLOOKUP(T13&amp;"-"&amp;0,Nuclides!$A$1:$B$2759,2,0))),"")</f>
        <v/>
      </c>
      <c r="O13" s="325">
        <f>IF(M13&gt;0,M13*IF(LEN(T13)&gt;2,(VLOOKUP(T13,Nuclides!$A$1:$B$2759,2,0)),(VLOOKUP(T13&amp;"-"&amp;0,Nuclides!$A$1:$B$2759,2,0))),0)</f>
        <v>0</v>
      </c>
      <c r="P13" s="323">
        <f t="shared" si="0"/>
        <v>0</v>
      </c>
      <c r="Q13" s="323">
        <f t="shared" si="1"/>
        <v>0</v>
      </c>
      <c r="R13" s="306" t="str">
        <f>IF(M13&gt;0,IF(LEN(T13)&gt;2,(VLOOKUP((T13),Nuclides!$A$1:$E$2759,5,0)),(VLOOKUP(T13&amp;"-"&amp;0,Nuclides!$A$1:$E$2759,5,0))),"")</f>
        <v/>
      </c>
      <c r="S13" s="306">
        <f>IF(M13&gt;0,M13*IF(LEN(T13)&gt;2,(VLOOKUP((T13),Nuclides!$A$1:$E$2759,5,0)),(VLOOKUP(T13&amp;"-"&amp;0,Nuclides!$A$1:$E$2759,5,0))),0)</f>
        <v>0</v>
      </c>
      <c r="T13" s="280" t="str">
        <f t="shared" si="2"/>
        <v/>
      </c>
    </row>
    <row r="14" spans="1:22" ht="13.5" thickBot="1" x14ac:dyDescent="0.25">
      <c r="A14" s="231" t="s">
        <v>206</v>
      </c>
      <c r="B14" s="279">
        <v>1</v>
      </c>
      <c r="C14" s="237" t="s">
        <v>207</v>
      </c>
      <c r="D14" s="230"/>
      <c r="F14" s="351" t="s">
        <v>203</v>
      </c>
      <c r="G14" s="312">
        <f>($G$10*N35)/($G$8*37000000000000)</f>
        <v>1.1318471824029384</v>
      </c>
      <c r="H14" s="230" t="s">
        <v>204</v>
      </c>
      <c r="I14" s="232"/>
      <c r="J14" s="316"/>
      <c r="K14" s="307"/>
      <c r="L14" s="304">
        <v>0</v>
      </c>
      <c r="M14" s="304">
        <v>0</v>
      </c>
      <c r="N14" s="325" t="str">
        <f>IF(M14&gt;0,IF(LEN(T14)&gt;2,(VLOOKUP(T14,Nuclides!$A$1:$B$2759,2,0)),(VLOOKUP(T14&amp;"-"&amp;0,Nuclides!$A$1:$B$2759,2,0))),"")</f>
        <v/>
      </c>
      <c r="O14" s="325">
        <f>IF(M14&gt;0,M14*IF(LEN(T14)&gt;2,(VLOOKUP(T14,Nuclides!$A$1:$B$2759,2,0)),(VLOOKUP(T14&amp;"-"&amp;0,Nuclides!$A$1:$B$2759,2,0))),0)</f>
        <v>0</v>
      </c>
      <c r="P14" s="323">
        <f t="shared" si="0"/>
        <v>0</v>
      </c>
      <c r="Q14" s="323">
        <f t="shared" si="1"/>
        <v>0</v>
      </c>
      <c r="R14" s="306" t="str">
        <f>IF(M14&gt;0,IF(LEN(T14)&gt;2,(VLOOKUP((T14),Nuclides!$A$1:$E$2759,5,0)),(VLOOKUP(T14&amp;"-"&amp;0,Nuclides!$A$1:$E$2759,5,0))),"")</f>
        <v/>
      </c>
      <c r="S14" s="306">
        <f>IF(M14&gt;0,M14*IF(LEN(T14)&gt;2,(VLOOKUP((T14),Nuclides!$A$1:$E$2759,5,0)),(VLOOKUP(T14&amp;"-"&amp;0,Nuclides!$A$1:$E$2759,5,0))),0)</f>
        <v>0</v>
      </c>
      <c r="T14" s="280" t="str">
        <f t="shared" si="2"/>
        <v/>
      </c>
    </row>
    <row r="15" spans="1:22" s="242" customFormat="1" ht="13.5" thickBot="1" x14ac:dyDescent="0.25">
      <c r="A15" s="352" t="s">
        <v>210</v>
      </c>
      <c r="B15" s="232"/>
      <c r="C15" s="232"/>
      <c r="D15" s="230"/>
      <c r="F15" s="313"/>
      <c r="G15" s="312">
        <f>($G$10*N35)/($G$8*37000000000)</f>
        <v>1131.8471824029384</v>
      </c>
      <c r="H15" s="230" t="s">
        <v>208</v>
      </c>
      <c r="I15" s="232"/>
      <c r="J15" s="318"/>
      <c r="K15" s="307"/>
      <c r="L15" s="304">
        <v>0</v>
      </c>
      <c r="M15" s="304">
        <v>0</v>
      </c>
      <c r="N15" s="325" t="str">
        <f>IF(M15&gt;0,IF(LEN(T15)&gt;2,(VLOOKUP(T15,Nuclides!$A$1:$B$2759,2,0)),(VLOOKUP(T15&amp;"-"&amp;0,Nuclides!$A$1:$B$2759,2,0))),"")</f>
        <v/>
      </c>
      <c r="O15" s="325">
        <f>IF(M15&gt;0,M15*IF(LEN(T15)&gt;2,(VLOOKUP(T15,Nuclides!$A$1:$B$2759,2,0)),(VLOOKUP(T15&amp;"-"&amp;0,Nuclides!$A$1:$B$2759,2,0))),0)</f>
        <v>0</v>
      </c>
      <c r="P15" s="323">
        <f t="shared" si="0"/>
        <v>0</v>
      </c>
      <c r="Q15" s="323">
        <f t="shared" si="1"/>
        <v>0</v>
      </c>
      <c r="R15" s="306" t="str">
        <f>IF(M15&gt;0,IF(LEN(T15)&gt;2,(VLOOKUP((T15),Nuclides!$A$1:$E$2759,5,0)),(VLOOKUP(T15&amp;"-"&amp;0,Nuclides!$A$1:$E$2759,5,0))),"")</f>
        <v/>
      </c>
      <c r="S15" s="306">
        <f>IF(M15&gt;0,M15*IF(LEN(T15)&gt;2,(VLOOKUP((T15),Nuclides!$A$1:$E$2759,5,0)),(VLOOKUP(T15&amp;"-"&amp;0,Nuclides!$A$1:$E$2759,5,0))),0)</f>
        <v>0</v>
      </c>
      <c r="T15" s="280" t="str">
        <f t="shared" si="2"/>
        <v/>
      </c>
    </row>
    <row r="16" spans="1:22" ht="13.5" thickBot="1" x14ac:dyDescent="0.25">
      <c r="A16" s="231" t="s">
        <v>213</v>
      </c>
      <c r="B16" s="332">
        <f>IF($F69&gt;1000000,$F$69/1000000, IF($F$69&gt;1000,$F$69/1000,IF($F$69&lt;1,$F$69/0.001,IF($F$69&lt;0.001,$F$69*1000000,F69))))</f>
        <v>8.8351149832522117E-4</v>
      </c>
      <c r="C16" s="334" t="str">
        <f>IF($F69&gt;1000000,"Mg", IF($F$69&gt;1000,"kg",IF($F$69&lt;1,"mg",IF($F$69&lt;0.001,"ug","g"))))</f>
        <v>mg</v>
      </c>
      <c r="D16" s="230"/>
      <c r="F16" s="313"/>
      <c r="G16" s="312">
        <f>(1000*$G$10*N35)/($G$8*37000000000)</f>
        <v>1131847.1824029381</v>
      </c>
      <c r="H16" s="230" t="s">
        <v>211</v>
      </c>
      <c r="I16" s="232"/>
      <c r="J16" s="316"/>
      <c r="K16" s="307"/>
      <c r="L16" s="304">
        <v>0</v>
      </c>
      <c r="M16" s="304">
        <v>0</v>
      </c>
      <c r="N16" s="325" t="str">
        <f>IF(M16&gt;0,IF(LEN(T16)&gt;2,(VLOOKUP(T16,Nuclides!$A$1:$B$2759,2,0)),(VLOOKUP(T16&amp;"-"&amp;0,Nuclides!$A$1:$B$2759,2,0))),"")</f>
        <v/>
      </c>
      <c r="O16" s="325">
        <f>IF(M16&gt;0,M16*IF(LEN(T16)&gt;2,(VLOOKUP(T16,Nuclides!$A$1:$B$2759,2,0)),(VLOOKUP(T16&amp;"-"&amp;0,Nuclides!$A$1:$B$2759,2,0))),0)</f>
        <v>0</v>
      </c>
      <c r="P16" s="323">
        <f t="shared" si="0"/>
        <v>0</v>
      </c>
      <c r="Q16" s="323">
        <f t="shared" si="1"/>
        <v>0</v>
      </c>
      <c r="R16" s="306" t="str">
        <f>IF(M16&gt;0,IF(LEN(T16)&gt;2,(VLOOKUP((T16),Nuclides!$A$1:$E$2759,5,0)),(VLOOKUP(T16&amp;"-"&amp;0,Nuclides!$A$1:$E$2759,5,0))),"")</f>
        <v/>
      </c>
      <c r="S16" s="306">
        <f>IF(M16&gt;0,M16*IF(LEN(T16)&gt;2,(VLOOKUP((T16),Nuclides!$A$1:$E$2759,5,0)),(VLOOKUP(T16&amp;"-"&amp;0,Nuclides!$A$1:$E$2759,5,0))),0)</f>
        <v>0</v>
      </c>
      <c r="T16" s="280" t="str">
        <f t="shared" si="2"/>
        <v/>
      </c>
    </row>
    <row r="17" spans="1:20" ht="13.5" thickBot="1" x14ac:dyDescent="0.25">
      <c r="A17" s="233"/>
      <c r="B17" s="234" t="s">
        <v>171</v>
      </c>
      <c r="C17" s="234"/>
      <c r="D17" s="235"/>
      <c r="F17" s="313"/>
      <c r="G17" s="312">
        <f>(1000000*$G$10*N35)/($G$8*37000000000)</f>
        <v>1131847182.4029381</v>
      </c>
      <c r="H17" s="236" t="s">
        <v>214</v>
      </c>
      <c r="I17" s="232"/>
      <c r="J17" s="316"/>
      <c r="K17" s="307"/>
      <c r="L17" s="304">
        <v>0</v>
      </c>
      <c r="M17" s="304">
        <v>0</v>
      </c>
      <c r="N17" s="325" t="str">
        <f>IF(M17&gt;0,IF(LEN(T17)&gt;2,(VLOOKUP(T17,Nuclides!$A$1:$B$2759,2,0)),(VLOOKUP(T17&amp;"-"&amp;0,Nuclides!$A$1:$B$2759,2,0))),"")</f>
        <v/>
      </c>
      <c r="O17" s="325">
        <f>IF(M17&gt;0,M17*IF(LEN(T17)&gt;2,(VLOOKUP(T17,Nuclides!$A$1:$B$2759,2,0)),(VLOOKUP(T17&amp;"-"&amp;0,Nuclides!$A$1:$B$2759,2,0))),0)</f>
        <v>0</v>
      </c>
      <c r="P17" s="323">
        <f t="shared" si="0"/>
        <v>0</v>
      </c>
      <c r="Q17" s="323">
        <f t="shared" si="1"/>
        <v>0</v>
      </c>
      <c r="R17" s="306" t="str">
        <f>IF(M17&gt;0,IF(LEN(T17)&gt;2,(VLOOKUP((T17),Nuclides!$A$1:$E$2759,5,0)),(VLOOKUP(T17&amp;"-"&amp;0,Nuclides!$A$1:$E$2759,5,0))),"")</f>
        <v/>
      </c>
      <c r="S17" s="306">
        <f>IF(M17&gt;0,M17*IF(LEN(T17)&gt;2,(VLOOKUP((T17),Nuclides!$A$1:$E$2759,5,0)),(VLOOKUP(T17&amp;"-"&amp;0,Nuclides!$A$1:$E$2759,5,0))),0)</f>
        <v>0</v>
      </c>
      <c r="T17" s="280" t="str">
        <f t="shared" si="2"/>
        <v/>
      </c>
    </row>
    <row r="18" spans="1:20" ht="13.5" thickBot="1" x14ac:dyDescent="0.25">
      <c r="F18" s="313"/>
      <c r="G18" s="312">
        <f>(1000000000*$G$10*N35)/($G$8*37000000000)</f>
        <v>1131847182402.9382</v>
      </c>
      <c r="H18" s="230" t="s">
        <v>216</v>
      </c>
      <c r="I18" s="310"/>
      <c r="J18" s="316"/>
      <c r="K18" s="307"/>
      <c r="L18" s="304">
        <v>0</v>
      </c>
      <c r="M18" s="304">
        <v>0</v>
      </c>
      <c r="N18" s="325" t="str">
        <f>IF(M18&gt;0,IF(LEN(T18)&gt;2,(VLOOKUP(T18,Nuclides!$A$1:$B$2759,2,0)),(VLOOKUP(T18&amp;"-"&amp;0,Nuclides!$A$1:$B$2759,2,0))),"")</f>
        <v/>
      </c>
      <c r="O18" s="325">
        <f>IF(M18&gt;0,M18*IF(LEN(T18)&gt;2,(VLOOKUP(T18,Nuclides!$A$1:$B$2759,2,0)),(VLOOKUP(T18&amp;"-"&amp;0,Nuclides!$A$1:$B$2759,2,0))),0)</f>
        <v>0</v>
      </c>
      <c r="P18" s="323">
        <f t="shared" si="0"/>
        <v>0</v>
      </c>
      <c r="Q18" s="323">
        <f t="shared" si="1"/>
        <v>0</v>
      </c>
      <c r="R18" s="306" t="str">
        <f>IF(M18&gt;0,IF(LEN(T18)&gt;2,(VLOOKUP((T18),Nuclides!$A$1:$E$2759,5,0)),(VLOOKUP(T18&amp;"-"&amp;0,Nuclides!$A$1:$E$2759,5,0))),"")</f>
        <v/>
      </c>
      <c r="S18" s="306">
        <f>IF(M18&gt;0,M18*IF(LEN(T18)&gt;2,(VLOOKUP((T18),Nuclides!$A$1:$E$2759,5,0)),(VLOOKUP(T18&amp;"-"&amp;0,Nuclides!$A$1:$E$2759,5,0))),0)</f>
        <v>0</v>
      </c>
      <c r="T18" s="280" t="str">
        <f t="shared" si="2"/>
        <v/>
      </c>
    </row>
    <row r="19" spans="1:20" ht="13.5" thickBot="1" x14ac:dyDescent="0.25">
      <c r="F19" s="313"/>
      <c r="G19" s="312">
        <f>G16*37000000000</f>
        <v>4.1878345748908712E+16</v>
      </c>
      <c r="H19" s="230" t="s">
        <v>219</v>
      </c>
      <c r="I19" s="232"/>
      <c r="J19" s="316"/>
      <c r="K19" s="307"/>
      <c r="L19" s="304">
        <v>0</v>
      </c>
      <c r="M19" s="304">
        <v>0</v>
      </c>
      <c r="N19" s="325" t="str">
        <f>IF(M19&gt;0,IF(LEN(T19)&gt;2,(VLOOKUP(T19,Nuclides!$A$1:$B$2759,2,0)),(VLOOKUP(T19&amp;"-"&amp;0,Nuclides!$A$1:$B$2759,2,0))),"")</f>
        <v/>
      </c>
      <c r="O19" s="325">
        <f>IF(M19&gt;0,M19*IF(LEN(T19)&gt;2,(VLOOKUP(T19,Nuclides!$A$1:$B$2759,2,0)),(VLOOKUP(T19&amp;"-"&amp;0,Nuclides!$A$1:$B$2759,2,0))),0)</f>
        <v>0</v>
      </c>
      <c r="P19" s="323">
        <f t="shared" si="0"/>
        <v>0</v>
      </c>
      <c r="Q19" s="323">
        <f t="shared" si="1"/>
        <v>0</v>
      </c>
      <c r="R19" s="306" t="str">
        <f>IF(M19&gt;0,IF(LEN(T19)&gt;2,(VLOOKUP((T19),Nuclides!$A$1:$E$2759,5,0)),(VLOOKUP(T19&amp;"-"&amp;0,Nuclides!$A$1:$E$2759,5,0))),"")</f>
        <v/>
      </c>
      <c r="S19" s="306">
        <f>IF(M19&gt;0,M19*IF(LEN(T19)&gt;2,(VLOOKUP((T19),Nuclides!$A$1:$E$2759,5,0)),(VLOOKUP(T19&amp;"-"&amp;0,Nuclides!$A$1:$E$2759,5,0))),0)</f>
        <v>0</v>
      </c>
      <c r="T19" s="280" t="str">
        <f t="shared" si="2"/>
        <v/>
      </c>
    </row>
    <row r="20" spans="1:20" ht="13.5" thickBot="1" x14ac:dyDescent="0.25">
      <c r="A20" s="225"/>
      <c r="B20" s="226"/>
      <c r="C20" s="226"/>
      <c r="D20" s="227"/>
      <c r="F20" s="313"/>
      <c r="G20" s="312">
        <f>G19/1000</f>
        <v>41878345748908.711</v>
      </c>
      <c r="H20" s="230" t="s">
        <v>221</v>
      </c>
      <c r="I20" s="232"/>
      <c r="J20" s="316"/>
      <c r="K20" s="307"/>
      <c r="L20" s="304">
        <v>0</v>
      </c>
      <c r="M20" s="304">
        <v>0</v>
      </c>
      <c r="N20" s="325" t="str">
        <f>IF(M20&gt;0,IF(LEN(T20)&gt;2,(VLOOKUP(T20,Nuclides!$A$1:$B$2759,2,0)),(VLOOKUP(T20&amp;"-"&amp;0,Nuclides!$A$1:$B$2759,2,0))),"")</f>
        <v/>
      </c>
      <c r="O20" s="325">
        <f>IF(M20&gt;0,M20*IF(LEN(T20)&gt;2,(VLOOKUP(T20,Nuclides!$A$1:$B$2759,2,0)),(VLOOKUP(T20&amp;"-"&amp;0,Nuclides!$A$1:$B$2759,2,0))),0)</f>
        <v>0</v>
      </c>
      <c r="P20" s="323">
        <f t="shared" si="0"/>
        <v>0</v>
      </c>
      <c r="Q20" s="323">
        <f t="shared" si="1"/>
        <v>0</v>
      </c>
      <c r="R20" s="306" t="str">
        <f>IF(M20&gt;0,IF(LEN(T20)&gt;2,(VLOOKUP((T20),Nuclides!$A$1:$E$2759,5,0)),(VLOOKUP(T20&amp;"-"&amp;0,Nuclides!$A$1:$E$2759,5,0))),"")</f>
        <v/>
      </c>
      <c r="S20" s="306">
        <f>IF(M20&gt;0,M20*IF(LEN(T20)&gt;2,(VLOOKUP((T20),Nuclides!$A$1:$E$2759,5,0)),(VLOOKUP(T20&amp;"-"&amp;0,Nuclides!$A$1:$E$2759,5,0))),0)</f>
        <v>0</v>
      </c>
      <c r="T20" s="280" t="str">
        <f t="shared" si="2"/>
        <v/>
      </c>
    </row>
    <row r="21" spans="1:20" ht="13.5" thickBot="1" x14ac:dyDescent="0.25">
      <c r="A21" s="228"/>
      <c r="B21" s="229" t="s">
        <v>201</v>
      </c>
      <c r="C21" s="229" t="s">
        <v>202</v>
      </c>
      <c r="D21" s="230"/>
      <c r="F21" s="313"/>
      <c r="G21" s="312">
        <f>G20/1000</f>
        <v>41878345748.908714</v>
      </c>
      <c r="H21" s="230" t="s">
        <v>223</v>
      </c>
      <c r="I21" s="232"/>
      <c r="J21" s="316"/>
      <c r="K21" s="307"/>
      <c r="L21" s="304">
        <v>0</v>
      </c>
      <c r="M21" s="304">
        <v>0</v>
      </c>
      <c r="N21" s="325" t="str">
        <f>IF(M21&gt;0,IF(LEN(T21)&gt;2,(VLOOKUP(T21,Nuclides!$A$1:$B$2759,2,0)),(VLOOKUP(T21&amp;"-"&amp;0,Nuclides!$A$1:$B$2759,2,0))),"")</f>
        <v/>
      </c>
      <c r="O21" s="325">
        <f>IF(M21&gt;0,M21*IF(LEN(T21)&gt;2,(VLOOKUP(T21,Nuclides!$A$1:$B$2759,2,0)),(VLOOKUP(T21&amp;"-"&amp;0,Nuclides!$A$1:$B$2759,2,0))),0)</f>
        <v>0</v>
      </c>
      <c r="P21" s="323">
        <f t="shared" si="0"/>
        <v>0</v>
      </c>
      <c r="Q21" s="323">
        <f t="shared" si="1"/>
        <v>0</v>
      </c>
      <c r="R21" s="306" t="str">
        <f>IF(M21&gt;0,IF(LEN(T21)&gt;2,(VLOOKUP((T21),Nuclides!$A$1:$E$2759,5,0)),(VLOOKUP(T21&amp;"-"&amp;0,Nuclides!$A$1:$E$2759,5,0))),"")</f>
        <v/>
      </c>
      <c r="S21" s="306">
        <f>IF(M21&gt;0,M21*IF(LEN(T21)&gt;2,(VLOOKUP((T21),Nuclides!$A$1:$E$2759,5,0)),(VLOOKUP(T21&amp;"-"&amp;0,Nuclides!$A$1:$E$2759,5,0))),0)</f>
        <v>0</v>
      </c>
      <c r="T21" s="280" t="str">
        <f t="shared" si="2"/>
        <v/>
      </c>
    </row>
    <row r="22" spans="1:20" ht="13.5" thickBot="1" x14ac:dyDescent="0.25">
      <c r="A22" s="231" t="s">
        <v>213</v>
      </c>
      <c r="B22" s="335">
        <v>1</v>
      </c>
      <c r="C22" s="237" t="s">
        <v>3090</v>
      </c>
      <c r="D22" s="230"/>
      <c r="F22" s="313"/>
      <c r="G22" s="312">
        <f>G21/1000</f>
        <v>41878345.748908713</v>
      </c>
      <c r="H22" s="230" t="s">
        <v>225</v>
      </c>
      <c r="I22" s="232"/>
      <c r="J22" s="316"/>
      <c r="K22" s="307"/>
      <c r="L22" s="304">
        <v>0</v>
      </c>
      <c r="M22" s="304">
        <v>0</v>
      </c>
      <c r="N22" s="325" t="str">
        <f>IF(M22&gt;0,IF(LEN(T22)&gt;2,(VLOOKUP(T22,Nuclides!$A$1:$B$2759,2,0)),(VLOOKUP(T22&amp;"-"&amp;0,Nuclides!$A$1:$B$2759,2,0))),"")</f>
        <v/>
      </c>
      <c r="O22" s="325">
        <f>IF(M22&gt;0,M22*IF(LEN(T22)&gt;2,(VLOOKUP(T22,Nuclides!$A$1:$B$2759,2,0)),(VLOOKUP(T22&amp;"-"&amp;0,Nuclides!$A$1:$B$2759,2,0))),0)</f>
        <v>0</v>
      </c>
      <c r="P22" s="323">
        <f t="shared" si="0"/>
        <v>0</v>
      </c>
      <c r="Q22" s="323">
        <f t="shared" si="1"/>
        <v>0</v>
      </c>
      <c r="R22" s="306" t="str">
        <f>IF(M22&gt;0,IF(LEN(T22)&gt;2,(VLOOKUP((T22),Nuclides!$A$1:$E$2759,5,0)),(VLOOKUP(T22&amp;"-"&amp;0,Nuclides!$A$1:$E$2759,5,0))),"")</f>
        <v/>
      </c>
      <c r="S22" s="306">
        <f>IF(M22&gt;0,M22*IF(LEN(T22)&gt;2,(VLOOKUP((T22),Nuclides!$A$1:$E$2759,5,0)),(VLOOKUP(T22&amp;"-"&amp;0,Nuclides!$A$1:$E$2759,5,0))),0)</f>
        <v>0</v>
      </c>
      <c r="T22" s="280" t="str">
        <f t="shared" si="2"/>
        <v/>
      </c>
    </row>
    <row r="23" spans="1:20" ht="13.5" thickBot="1" x14ac:dyDescent="0.25">
      <c r="A23" s="352" t="s">
        <v>210</v>
      </c>
      <c r="B23" s="232"/>
      <c r="C23" s="232" t="s">
        <v>171</v>
      </c>
      <c r="D23" s="230"/>
      <c r="F23" s="313"/>
      <c r="G23" s="312">
        <f>G20*1000</f>
        <v>4.1878345748908712E+16</v>
      </c>
      <c r="H23" s="230" t="s">
        <v>228</v>
      </c>
      <c r="I23" s="232"/>
      <c r="J23" s="316"/>
      <c r="K23" s="307"/>
      <c r="L23" s="304">
        <v>0</v>
      </c>
      <c r="M23" s="304">
        <v>0</v>
      </c>
      <c r="N23" s="325" t="str">
        <f>IF(M23&gt;0,IF(LEN(T23)&gt;2,(VLOOKUP(T23,Nuclides!$A$1:$B$2759,2,0)),(VLOOKUP(T23&amp;"-"&amp;0,Nuclides!$A$1:$B$2759,2,0))),"")</f>
        <v/>
      </c>
      <c r="O23" s="325">
        <f>IF(M23&gt;0,M23*IF(LEN(T23)&gt;2,(VLOOKUP(T23,Nuclides!$A$1:$B$2759,2,0)),(VLOOKUP(T23&amp;"-"&amp;0,Nuclides!$A$1:$B$2759,2,0))),0)</f>
        <v>0</v>
      </c>
      <c r="P23" s="323">
        <f t="shared" si="0"/>
        <v>0</v>
      </c>
      <c r="Q23" s="323">
        <f t="shared" si="1"/>
        <v>0</v>
      </c>
      <c r="R23" s="306" t="str">
        <f>IF(M23&gt;0,IF(LEN(T23)&gt;2,(VLOOKUP((T23),Nuclides!$A$1:$E$2759,5,0)),(VLOOKUP(T23&amp;"-"&amp;0,Nuclides!$A$1:$E$2759,5,0))),"")</f>
        <v/>
      </c>
      <c r="S23" s="306">
        <f>IF(M23&gt;0,M23*IF(LEN(T23)&gt;2,(VLOOKUP((T23),Nuclides!$A$1:$E$2759,5,0)),(VLOOKUP(T23&amp;"-"&amp;0,Nuclides!$A$1:$E$2759,5,0))),0)</f>
        <v>0</v>
      </c>
      <c r="T23" s="280" t="str">
        <f t="shared" si="2"/>
        <v/>
      </c>
    </row>
    <row r="24" spans="1:20" ht="13.5" thickBot="1" x14ac:dyDescent="0.25">
      <c r="A24" s="231" t="s">
        <v>206</v>
      </c>
      <c r="B24" s="333">
        <f>IF('misc conversions'!$E5&gt;1000000,'misc conversions'!$E5/1000000, IF('misc conversions'!$E5&gt;1000,'misc conversions'!$E5/1000,IF('misc conversions'!E5&lt;0.000001,'misc conversions'!E5*1000000000,IF('misc conversions'!$E5&lt;0.001,'misc conversions'!$E5*1000000,IF('misc conversions'!$E5&lt;1,'misc conversions'!$E5*1000,'misc conversions'!E5)))))</f>
        <v>1.1318471824029384</v>
      </c>
      <c r="C24" s="334" t="str">
        <f>IF('misc conversions'!$E5&gt;1000000,"MCi", IF('misc conversions'!$E5&gt;1000,"kCi",IF(AND('misc conversions'!$E$5&lt;1,'misc conversions'!$E$5&gt;0.001),"mCi",IF(AND('misc conversions'!$E$5&lt;0.001,'misc conversions'!$E$5&gt;0.000001),"uCi",IF(AND('misc conversions'!E5&lt;0.000001,0.000000001),"nCi","Ci")))))</f>
        <v>kCi</v>
      </c>
      <c r="D24" s="230"/>
      <c r="F24" s="313"/>
      <c r="G24" s="312"/>
      <c r="H24" s="230"/>
      <c r="I24" s="232"/>
      <c r="J24" s="316"/>
      <c r="K24" s="308">
        <f>SUM(K11:K23)</f>
        <v>0</v>
      </c>
      <c r="L24" s="305">
        <f>SUM(L11:L23)</f>
        <v>0</v>
      </c>
      <c r="M24" s="305">
        <f>SUM(M11:M23)</f>
        <v>7</v>
      </c>
      <c r="N24" s="326"/>
      <c r="O24" s="326">
        <f>SUM(O11:O23)</f>
        <v>352.01941799999997</v>
      </c>
      <c r="P24" s="324">
        <f>SUM(P11:P23)</f>
        <v>1</v>
      </c>
      <c r="Q24" s="324">
        <f>SUM(Q11:Q23)</f>
        <v>1</v>
      </c>
      <c r="R24" s="305"/>
      <c r="S24" s="305">
        <f>SUM(S11:S23)</f>
        <v>146</v>
      </c>
      <c r="T24" s="305">
        <f>SUM(T11:T23)</f>
        <v>0</v>
      </c>
    </row>
    <row r="25" spans="1:20" ht="17.25" thickBot="1" x14ac:dyDescent="0.3">
      <c r="A25" s="233"/>
      <c r="B25" s="234"/>
      <c r="C25" s="234"/>
      <c r="D25" s="235"/>
      <c r="F25" s="351" t="s">
        <v>231</v>
      </c>
      <c r="G25" s="358">
        <f>C10/100*($G$10*N35)/($G$8*37000000000)</f>
        <v>1131.8471824029384</v>
      </c>
      <c r="H25" s="230" t="s">
        <v>232</v>
      </c>
      <c r="I25" s="232"/>
      <c r="J25" s="316"/>
      <c r="K25" t="s">
        <v>3202</v>
      </c>
      <c r="N25" s="232"/>
      <c r="O25" s="232"/>
      <c r="P25" s="232"/>
      <c r="Q25" s="232"/>
      <c r="R25" s="232"/>
    </row>
    <row r="26" spans="1:20" ht="13.5" thickBot="1" x14ac:dyDescent="0.25">
      <c r="F26" s="228"/>
      <c r="G26" s="358">
        <f>C10/100*(1000*$G$10*N35)/($G$8*37000000000)</f>
        <v>1131847.1824029381</v>
      </c>
      <c r="H26" s="230" t="s">
        <v>234</v>
      </c>
      <c r="I26" s="232"/>
      <c r="J26" s="316"/>
      <c r="K26" t="s">
        <v>2964</v>
      </c>
      <c r="L26" s="271" t="str">
        <f>K11&amp;IF(M11&gt;1,M11,)&amp;K12&amp;IF(M12&gt;1,M12,)&amp;K13&amp;IF(M13&gt;1,M13,)&amp;K14&amp;IF(M14&gt;1,M14,)&amp;K15&amp;IF(M15&gt;1,M15,)&amp;K16&amp;IF(M16&gt;1,M16,)&amp;K17&amp;IF(M17&gt;1,M17,)&amp;K18&amp;IF(M18&gt;1,M18,)&amp;K19&amp;IF(M19&gt;1,M19,)&amp;K20&amp;IF(M20&gt;1,M20,)</f>
        <v>UF6</v>
      </c>
      <c r="M26" s="232"/>
      <c r="N26" s="232"/>
      <c r="O26" s="232"/>
      <c r="P26" s="232"/>
      <c r="Q26" s="232"/>
      <c r="R26" s="232"/>
    </row>
    <row r="27" spans="1:20" ht="13.5" customHeight="1" thickBot="1" x14ac:dyDescent="0.25">
      <c r="F27" s="228"/>
      <c r="G27" s="358">
        <f>G26/1000</f>
        <v>1131.8471824029382</v>
      </c>
      <c r="H27" s="230" t="s">
        <v>211</v>
      </c>
      <c r="I27" s="232"/>
      <c r="J27" s="316"/>
      <c r="K27" s="232" t="s">
        <v>2965</v>
      </c>
      <c r="L27" s="232"/>
      <c r="M27" s="328">
        <f>SUM(O11:O23)</f>
        <v>352.01941799999997</v>
      </c>
      <c r="N27" s="232" t="s">
        <v>3183</v>
      </c>
      <c r="P27" s="232"/>
      <c r="Q27" s="232"/>
      <c r="R27" s="232"/>
    </row>
    <row r="28" spans="1:20" ht="13.5" thickBot="1" x14ac:dyDescent="0.25">
      <c r="A28" s="342" t="s">
        <v>3197</v>
      </c>
      <c r="B28" s="342"/>
      <c r="C28" s="342"/>
      <c r="D28" s="342"/>
      <c r="E28" s="343"/>
      <c r="F28" s="228"/>
      <c r="G28" s="358">
        <f>C10/100*(1000000*$G$10*N35)/($G$8*37000000000)</f>
        <v>1131847182.4029381</v>
      </c>
      <c r="H28" s="236" t="s">
        <v>214</v>
      </c>
      <c r="I28" s="232"/>
      <c r="J28" s="316"/>
      <c r="K28" s="232" t="s">
        <v>2967</v>
      </c>
      <c r="L28" s="232"/>
      <c r="M28" s="329">
        <f>N35*S24/M27</f>
        <v>2.4976802940342346E+23</v>
      </c>
      <c r="N28" s="275" t="s">
        <v>2968</v>
      </c>
      <c r="P28" s="232"/>
      <c r="Q28" s="232"/>
      <c r="R28" s="232"/>
    </row>
    <row r="29" spans="1:20" x14ac:dyDescent="0.2">
      <c r="A29" s="342"/>
      <c r="B29" s="342"/>
      <c r="C29" s="342"/>
      <c r="D29" s="342"/>
      <c r="E29" s="343"/>
      <c r="F29" s="228"/>
      <c r="G29" s="358">
        <f>G28*1000</f>
        <v>1131847182402.9382</v>
      </c>
      <c r="H29" s="230" t="s">
        <v>216</v>
      </c>
      <c r="I29" s="310"/>
      <c r="J29" s="316"/>
      <c r="K29" s="232"/>
      <c r="L29" s="232"/>
      <c r="M29" s="232"/>
      <c r="N29" s="320"/>
      <c r="O29" s="274"/>
      <c r="P29" s="232"/>
      <c r="Q29" s="232"/>
      <c r="R29" s="232"/>
    </row>
    <row r="30" spans="1:20" x14ac:dyDescent="0.2">
      <c r="F30" s="228"/>
      <c r="G30" s="358">
        <f>G29*1000</f>
        <v>1131847182402938.2</v>
      </c>
      <c r="H30" s="230" t="s">
        <v>239</v>
      </c>
      <c r="I30" s="232"/>
      <c r="J30" s="316"/>
      <c r="L30" s="232"/>
      <c r="M30" s="232"/>
      <c r="N30" s="232"/>
      <c r="O30" s="232"/>
      <c r="P30" s="232"/>
      <c r="Q30" s="232"/>
      <c r="R30" s="232"/>
    </row>
    <row r="31" spans="1:20" ht="15" customHeight="1" x14ac:dyDescent="0.2">
      <c r="A31" s="344" t="s">
        <v>3198</v>
      </c>
      <c r="B31" s="344"/>
      <c r="C31" s="344"/>
      <c r="D31" s="344"/>
      <c r="E31" s="345"/>
      <c r="F31" s="228"/>
      <c r="G31" s="358">
        <f>G19*C10/100</f>
        <v>4.1878345748908712E+16</v>
      </c>
      <c r="H31" s="230" t="s">
        <v>219</v>
      </c>
      <c r="I31" s="232"/>
      <c r="J31" s="319"/>
      <c r="K31" s="232" t="s">
        <v>2969</v>
      </c>
      <c r="O31" s="232"/>
      <c r="P31" s="232"/>
      <c r="Q31" s="232"/>
      <c r="R31" s="232"/>
    </row>
    <row r="32" spans="1:20" ht="13.5" thickBot="1" x14ac:dyDescent="0.25">
      <c r="A32" s="344"/>
      <c r="B32" s="344"/>
      <c r="C32" s="344"/>
      <c r="D32" s="344"/>
      <c r="E32" s="345"/>
      <c r="F32" s="228"/>
      <c r="G32" s="358">
        <f>G31/1000</f>
        <v>41878345748908.711</v>
      </c>
      <c r="H32" s="230" t="s">
        <v>221</v>
      </c>
      <c r="I32" s="232"/>
      <c r="J32" s="319"/>
      <c r="K32" t="s">
        <v>171</v>
      </c>
      <c r="L32" s="2" t="s">
        <v>172</v>
      </c>
      <c r="M32" s="2" t="s">
        <v>173</v>
      </c>
      <c r="P32" s="272" t="s">
        <v>2970</v>
      </c>
      <c r="Q32" s="272" t="str">
        <f>IF(M33=0,IF(LEN(L33)&gt;1,UPPER(LEFT(L33,1))&amp;LOWER(RIGHT(L33,1)),UPPER(L33)),IF(LEN(L33)&gt;1,UPPER(LEFT(L33,1))&amp;LOWER(RIGHT(L33,1)&amp;"-"&amp;M33),UPPER(L33)&amp;"-"&amp;M33))</f>
        <v>U-238</v>
      </c>
      <c r="R32" s="232"/>
    </row>
    <row r="33" spans="1:21" ht="13.5" thickBot="1" x14ac:dyDescent="0.25">
      <c r="A33" s="344"/>
      <c r="B33" s="344"/>
      <c r="C33" s="344"/>
      <c r="D33" s="344"/>
      <c r="E33" s="345"/>
      <c r="F33" s="228"/>
      <c r="G33" s="358">
        <f>G32/1000</f>
        <v>41878345748.908714</v>
      </c>
      <c r="H33" s="230" t="s">
        <v>223</v>
      </c>
      <c r="I33" s="232"/>
      <c r="J33" s="319"/>
      <c r="K33" s="3" t="s">
        <v>175</v>
      </c>
      <c r="L33" s="238" t="s">
        <v>3184</v>
      </c>
      <c r="M33" s="304">
        <v>238</v>
      </c>
      <c r="O33" s="327" t="s">
        <v>178</v>
      </c>
      <c r="P33" s="339" t="str">
        <f>IF(M33=0,"(Atomic)","(Isotopic)")</f>
        <v>(Isotopic)</v>
      </c>
      <c r="Q33" s="337">
        <f>IF(LEN(Q32)&gt;2,(VLOOKUP((Q32),Nuclides!$A$1:$B$2759,2,0)),(VLOOKUP(Q32&amp;"-"&amp;0,Nuclides!$A$1:$B$2759,2,0)))</f>
        <v>238.050783524</v>
      </c>
      <c r="R33" s="232"/>
    </row>
    <row r="34" spans="1:21" x14ac:dyDescent="0.2">
      <c r="A34" s="344"/>
      <c r="B34" s="344"/>
      <c r="C34" s="344"/>
      <c r="D34" s="344"/>
      <c r="E34" s="345"/>
      <c r="F34" s="228"/>
      <c r="G34" s="358">
        <f>G33/1000</f>
        <v>41878345.748908713</v>
      </c>
      <c r="H34" s="230" t="s">
        <v>225</v>
      </c>
      <c r="I34" s="232"/>
      <c r="J34" s="319"/>
      <c r="O34" s="3"/>
      <c r="P34" s="3" t="s">
        <v>3204</v>
      </c>
      <c r="Q34" s="315">
        <f>IF(LEN(Q32)&gt;2,(VLOOKUP((Q32),Nuclides!$A$1:$E$2759,5,0)),(VLOOKUP(Q32&amp;"-"&amp;0,Nuclides!$A$1:$E$2759,5,0)))</f>
        <v>92</v>
      </c>
      <c r="R34" s="232"/>
    </row>
    <row r="35" spans="1:21" x14ac:dyDescent="0.2">
      <c r="F35" s="228"/>
      <c r="G35" s="358">
        <f>G32*1000</f>
        <v>4.1878345748908712E+16</v>
      </c>
      <c r="H35" s="230" t="s">
        <v>228</v>
      </c>
      <c r="I35" s="232"/>
      <c r="J35" s="319"/>
      <c r="K35" s="3" t="s">
        <v>3194</v>
      </c>
      <c r="M35" s="322"/>
      <c r="N35" s="322">
        <v>6.0221367360000001E+23</v>
      </c>
      <c r="O35" s="232"/>
      <c r="P35" s="271" t="s">
        <v>3205</v>
      </c>
      <c r="Q35" s="338">
        <f>Q33-Q34</f>
        <v>146.050783524</v>
      </c>
      <c r="R35" s="232"/>
    </row>
    <row r="36" spans="1:21" ht="13.5" thickBot="1" x14ac:dyDescent="0.25">
      <c r="A36" s="234"/>
      <c r="B36" s="234"/>
      <c r="C36" s="234"/>
      <c r="D36" s="234"/>
      <c r="E36" s="234"/>
      <c r="F36" s="233"/>
      <c r="G36" s="234"/>
      <c r="H36" s="235"/>
      <c r="I36" s="232"/>
      <c r="J36" s="278"/>
      <c r="K36" s="3" t="s">
        <v>3193</v>
      </c>
      <c r="N36" s="359">
        <v>1.6605402E-27</v>
      </c>
      <c r="O36" s="359"/>
    </row>
    <row r="37" spans="1:21" x14ac:dyDescent="0.2">
      <c r="J37" s="232"/>
      <c r="N37" s="309"/>
      <c r="U37" s="242"/>
    </row>
    <row r="38" spans="1:21" x14ac:dyDescent="0.2">
      <c r="A38" s="245"/>
      <c r="J38" s="232"/>
      <c r="O38" s="232"/>
      <c r="P38" s="232"/>
      <c r="Q38" s="232"/>
      <c r="R38" s="232"/>
      <c r="U38" s="242"/>
    </row>
    <row r="39" spans="1:21" x14ac:dyDescent="0.2">
      <c r="B39" s="242"/>
      <c r="K39" s="232"/>
      <c r="L39" s="232"/>
      <c r="M39" s="232"/>
      <c r="O39" s="232"/>
      <c r="P39" s="232"/>
      <c r="Q39" s="232"/>
      <c r="R39" s="232"/>
    </row>
    <row r="42" spans="1:21" x14ac:dyDescent="0.2">
      <c r="A42" s="245"/>
    </row>
    <row r="46" spans="1:21" x14ac:dyDescent="0.2">
      <c r="U46" s="270"/>
    </row>
    <row r="49" spans="21:21" x14ac:dyDescent="0.2">
      <c r="U49" s="242"/>
    </row>
    <row r="65" spans="1:7" x14ac:dyDescent="0.2">
      <c r="A65" s="2" t="s">
        <v>171</v>
      </c>
      <c r="B65" s="2" t="s">
        <v>171</v>
      </c>
    </row>
    <row r="66" spans="1:7" x14ac:dyDescent="0.2">
      <c r="B66" s="4"/>
      <c r="D66" t="s">
        <v>171</v>
      </c>
    </row>
    <row r="67" spans="1:7" x14ac:dyDescent="0.2">
      <c r="A67" s="2" t="s">
        <v>202</v>
      </c>
      <c r="B67" s="2" t="s">
        <v>262</v>
      </c>
      <c r="D67" t="s">
        <v>171</v>
      </c>
    </row>
    <row r="68" spans="1:7" x14ac:dyDescent="0.2">
      <c r="B68" s="4"/>
      <c r="D68" t="str">
        <f>IF(OR(C22="gram",C22="gm",C22="grams",C22="g"),"gm",IF(OR(C22="kg",C22="kilo"),"kg",IF(OR(C22="lb",C22="lbs",C22="pound",C22="pounds"),"lb",IF(C22="oz","oz",IF(C22="ounce","oz",C22)))))</f>
        <v>gm</v>
      </c>
    </row>
    <row r="69" spans="1:7" x14ac:dyDescent="0.2">
      <c r="A69" s="98" t="s">
        <v>294</v>
      </c>
      <c r="B69" s="4">
        <v>1000</v>
      </c>
      <c r="D69" t="s">
        <v>250</v>
      </c>
      <c r="F69" s="294">
        <f>B14*'misc conversions'!E15*G8/(G10*N35*C10/100)</f>
        <v>8.8351149832522114E-7</v>
      </c>
      <c r="G69" s="232" t="s">
        <v>295</v>
      </c>
    </row>
    <row r="70" spans="1:7" x14ac:dyDescent="0.2">
      <c r="A70" s="98" t="s">
        <v>297</v>
      </c>
      <c r="B70" s="4">
        <v>1</v>
      </c>
      <c r="D70">
        <f>VLOOKUP(D68,A69:B74,2,'misc conversions'!B27)</f>
        <v>1</v>
      </c>
    </row>
    <row r="71" spans="1:7" x14ac:dyDescent="0.2">
      <c r="A71" s="98" t="s">
        <v>299</v>
      </c>
      <c r="B71" s="4">
        <v>1E-3</v>
      </c>
    </row>
    <row r="72" spans="1:7" x14ac:dyDescent="0.2">
      <c r="A72" s="98" t="s">
        <v>227</v>
      </c>
      <c r="B72" s="4">
        <v>9.9999999999999995E-7</v>
      </c>
    </row>
    <row r="73" spans="1:7" x14ac:dyDescent="0.2">
      <c r="A73" s="98" t="s">
        <v>302</v>
      </c>
      <c r="B73">
        <f>B74*16</f>
        <v>452.8</v>
      </c>
    </row>
    <row r="74" spans="1:7" x14ac:dyDescent="0.2">
      <c r="A74" s="98" t="s">
        <v>304</v>
      </c>
      <c r="B74">
        <f>28.3</f>
        <v>28.3</v>
      </c>
    </row>
    <row r="75" spans="1:7" x14ac:dyDescent="0.2">
      <c r="A75" s="98" t="s">
        <v>171</v>
      </c>
      <c r="B75" s="4" t="s">
        <v>171</v>
      </c>
    </row>
    <row r="76" spans="1:7" x14ac:dyDescent="0.2">
      <c r="A76" t="s">
        <v>171</v>
      </c>
      <c r="B76" s="4" t="s">
        <v>171</v>
      </c>
    </row>
    <row r="77" spans="1:7" x14ac:dyDescent="0.2">
      <c r="A77" t="s">
        <v>171</v>
      </c>
      <c r="B77" s="4" t="s">
        <v>171</v>
      </c>
    </row>
    <row r="79" spans="1:7" x14ac:dyDescent="0.2">
      <c r="B79">
        <f>IF(F69&lt;0.000001,F69/0.000001,IF(F69&lt;0.001,F69/0.001,IF(F69&gt;1000,F69/1000,IF(F69&gt;1000000,F69/1000000))))</f>
        <v>0.88351149832522113</v>
      </c>
      <c r="C79" t="b">
        <f>IF(F69&gt;1000,"kg",IF(F69&gt;1000000,"Mg"))</f>
        <v>0</v>
      </c>
    </row>
  </sheetData>
  <mergeCells count="8">
    <mergeCell ref="K8:M8"/>
    <mergeCell ref="A28:E29"/>
    <mergeCell ref="A31:E34"/>
    <mergeCell ref="K1:U1"/>
    <mergeCell ref="A3:I4"/>
    <mergeCell ref="A1:I1"/>
    <mergeCell ref="F13:H13"/>
    <mergeCell ref="A10:B10"/>
  </mergeCells>
  <phoneticPr fontId="0" type="noConversion"/>
  <printOptions gridLines="1" gridLinesSet="0"/>
  <pageMargins left="0.75" right="0.75" top="1" bottom="1" header="0.5" footer="0.5"/>
  <pageSetup orientation="portrait" horizont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2"/>
  <sheetViews>
    <sheetView zoomScale="75" workbookViewId="0">
      <selection activeCell="K23" sqref="K23"/>
    </sheetView>
  </sheetViews>
  <sheetFormatPr defaultRowHeight="12.75" x14ac:dyDescent="0.2"/>
  <cols>
    <col min="1" max="1" width="12.140625" customWidth="1"/>
    <col min="2" max="2" width="12.5703125" customWidth="1"/>
    <col min="3" max="4" width="13.28515625" customWidth="1"/>
    <col min="5" max="5" width="14.140625" customWidth="1"/>
    <col min="6" max="6" width="12.85546875" customWidth="1"/>
    <col min="7" max="8" width="13.85546875" customWidth="1"/>
    <col min="9" max="9" width="14.7109375" customWidth="1"/>
    <col min="10" max="10" width="11.42578125" customWidth="1"/>
    <col min="11" max="13" width="11.7109375" customWidth="1"/>
    <col min="14" max="15" width="10.28515625" customWidth="1"/>
  </cols>
  <sheetData>
    <row r="1" spans="1:13" x14ac:dyDescent="0.2">
      <c r="A1" s="222" t="s">
        <v>2971</v>
      </c>
      <c r="D1" t="s">
        <v>2972</v>
      </c>
    </row>
    <row r="3" spans="1:13" x14ac:dyDescent="0.2">
      <c r="A3" s="9" t="s">
        <v>201</v>
      </c>
      <c r="B3" s="10" t="s">
        <v>202</v>
      </c>
      <c r="C3" s="5"/>
      <c r="D3" s="210" t="s">
        <v>3006</v>
      </c>
      <c r="E3" s="101"/>
      <c r="F3" s="120">
        <v>0.876</v>
      </c>
      <c r="G3" s="101" t="s">
        <v>3007</v>
      </c>
      <c r="H3" s="5"/>
      <c r="I3" s="5"/>
      <c r="J3" s="9"/>
      <c r="K3" s="5"/>
      <c r="L3" s="5"/>
    </row>
    <row r="4" spans="1:13" ht="13.5" thickBot="1" x14ac:dyDescent="0.25">
      <c r="A4" s="9"/>
      <c r="B4" s="10"/>
      <c r="C4" s="5"/>
      <c r="D4" s="5"/>
      <c r="E4" s="5"/>
      <c r="F4" s="5"/>
      <c r="G4" s="5"/>
      <c r="H4" s="5"/>
      <c r="I4" s="5"/>
      <c r="J4" s="9"/>
      <c r="K4" s="5"/>
      <c r="L4" s="5"/>
    </row>
    <row r="5" spans="1:13" x14ac:dyDescent="0.2">
      <c r="A5" s="11" t="s">
        <v>206</v>
      </c>
      <c r="B5" s="12" t="s">
        <v>171</v>
      </c>
      <c r="C5" s="13" t="s">
        <v>277</v>
      </c>
      <c r="D5" s="13" t="s">
        <v>279</v>
      </c>
      <c r="E5" s="13" t="s">
        <v>281</v>
      </c>
      <c r="F5" s="13" t="s">
        <v>283</v>
      </c>
      <c r="G5" s="13" t="s">
        <v>2973</v>
      </c>
      <c r="H5" s="13" t="s">
        <v>2974</v>
      </c>
      <c r="I5" s="14" t="s">
        <v>2975</v>
      </c>
      <c r="J5" s="5"/>
      <c r="K5" s="5"/>
      <c r="L5" s="5"/>
    </row>
    <row r="6" spans="1:13" x14ac:dyDescent="0.2">
      <c r="A6" s="163">
        <v>3</v>
      </c>
      <c r="B6" s="15" t="s">
        <v>265</v>
      </c>
      <c r="C6" s="99">
        <f>A6*0.037</f>
        <v>0.11099999999999999</v>
      </c>
      <c r="D6" s="99">
        <f xml:space="preserve"> A6*0.000037</f>
        <v>1.1099999999999999E-4</v>
      </c>
      <c r="E6" s="99">
        <f xml:space="preserve"> A6*0.000037/1000</f>
        <v>1.1099999999999999E-7</v>
      </c>
      <c r="F6" s="99">
        <f>A6*0.000000000037</f>
        <v>1.11E-10</v>
      </c>
      <c r="G6" s="99">
        <f>A6*0.000000000000037</f>
        <v>1.1100000000000001E-13</v>
      </c>
      <c r="H6" s="99">
        <f>A6*0.000000000000000037</f>
        <v>1.1099999999999999E-16</v>
      </c>
      <c r="I6" s="100">
        <f>A6*3.7E-20</f>
        <v>1.11E-19</v>
      </c>
      <c r="J6" s="101"/>
      <c r="K6" s="101"/>
      <c r="L6" s="101"/>
      <c r="M6" s="101"/>
    </row>
    <row r="7" spans="1:13" x14ac:dyDescent="0.2">
      <c r="A7" s="164">
        <v>1</v>
      </c>
      <c r="B7" s="17" t="s">
        <v>267</v>
      </c>
      <c r="C7" s="102">
        <f>A7*37</f>
        <v>37</v>
      </c>
      <c r="D7" s="102">
        <f xml:space="preserve"> A7*0.037</f>
        <v>3.6999999999999998E-2</v>
      </c>
      <c r="E7" s="102">
        <f>A7*0.000037</f>
        <v>3.6999999999999998E-5</v>
      </c>
      <c r="F7" s="102">
        <f>A7*0.000000037</f>
        <v>3.7E-8</v>
      </c>
      <c r="G7" s="102">
        <f>A7*0.000000000037</f>
        <v>3.7000000000000001E-11</v>
      </c>
      <c r="H7" s="102">
        <f>A7*0.000000000000037</f>
        <v>3.7E-14</v>
      </c>
      <c r="I7" s="103">
        <f>A7*0.000000000000000037</f>
        <v>3.6999999999999997E-17</v>
      </c>
      <c r="J7" s="104" t="s">
        <v>171</v>
      </c>
      <c r="K7" s="101"/>
      <c r="L7" s="101"/>
      <c r="M7" s="101"/>
    </row>
    <row r="8" spans="1:13" x14ac:dyDescent="0.2">
      <c r="A8" s="223">
        <v>9.0999999999999998E-2</v>
      </c>
      <c r="B8" s="15" t="s">
        <v>269</v>
      </c>
      <c r="C8" s="99">
        <f>A8*37000</f>
        <v>3367</v>
      </c>
      <c r="D8" s="99">
        <f xml:space="preserve"> A8*37</f>
        <v>3.367</v>
      </c>
      <c r="E8" s="99">
        <f>A8*0.037</f>
        <v>3.3669999999999998E-3</v>
      </c>
      <c r="F8" s="99">
        <f>A8*0.000037</f>
        <v>3.3669999999999997E-6</v>
      </c>
      <c r="G8" s="99">
        <f>A8*0.000000037</f>
        <v>3.3670000000000001E-9</v>
      </c>
      <c r="H8" s="99">
        <f>A8*0.000000000037</f>
        <v>3.3670000000000001E-12</v>
      </c>
      <c r="I8" s="100">
        <f>A8*0.000000000000037</f>
        <v>3.3670000000000001E-15</v>
      </c>
      <c r="J8" s="101"/>
      <c r="K8" s="101"/>
      <c r="L8" s="101"/>
      <c r="M8" s="101"/>
    </row>
    <row r="9" spans="1:13" x14ac:dyDescent="0.2">
      <c r="A9" s="164">
        <v>1</v>
      </c>
      <c r="B9" s="17" t="s">
        <v>207</v>
      </c>
      <c r="C9" s="102">
        <f>A9*37000000</f>
        <v>37000000</v>
      </c>
      <c r="D9" s="102">
        <f xml:space="preserve"> A9*37000</f>
        <v>37000</v>
      </c>
      <c r="E9" s="102">
        <f>A9*37</f>
        <v>37</v>
      </c>
      <c r="F9" s="102">
        <f>A9*0.037</f>
        <v>3.6999999999999998E-2</v>
      </c>
      <c r="G9" s="102">
        <f>A9*0.000037</f>
        <v>3.6999999999999998E-5</v>
      </c>
      <c r="H9" s="102">
        <f>A9*0.000000037</f>
        <v>3.7E-8</v>
      </c>
      <c r="I9" s="103">
        <f>A9*0.000000000037</f>
        <v>3.7000000000000001E-11</v>
      </c>
      <c r="J9" s="101"/>
      <c r="K9" s="101"/>
      <c r="L9" s="101"/>
      <c r="M9" s="101"/>
    </row>
    <row r="10" spans="1:13" x14ac:dyDescent="0.2">
      <c r="A10" s="163">
        <v>30</v>
      </c>
      <c r="B10" s="15" t="s">
        <v>251</v>
      </c>
      <c r="C10" s="99">
        <f>A10*37000000000</f>
        <v>1110000000000</v>
      </c>
      <c r="D10" s="99">
        <f xml:space="preserve"> A10*37000000</f>
        <v>1110000000</v>
      </c>
      <c r="E10" s="99">
        <f>A10*37000</f>
        <v>1110000</v>
      </c>
      <c r="F10" s="99">
        <f>A10*37</f>
        <v>1110</v>
      </c>
      <c r="G10" s="99">
        <f>A10*0.037</f>
        <v>1.1099999999999999</v>
      </c>
      <c r="H10" s="99">
        <f>A10*0.000037</f>
        <v>1.1099999999999999E-3</v>
      </c>
      <c r="I10" s="100">
        <f>A10*0.000000037</f>
        <v>1.11E-6</v>
      </c>
      <c r="J10" s="101"/>
      <c r="K10" s="101"/>
      <c r="L10" s="101"/>
      <c r="M10" s="101"/>
    </row>
    <row r="11" spans="1:13" x14ac:dyDescent="0.2">
      <c r="A11" s="164">
        <v>34</v>
      </c>
      <c r="B11" s="17" t="s">
        <v>273</v>
      </c>
      <c r="C11" s="102">
        <f>A11*37000000000000</f>
        <v>1258000000000000</v>
      </c>
      <c r="D11" s="102">
        <f xml:space="preserve"> A11*37000000000</f>
        <v>1258000000000</v>
      </c>
      <c r="E11" s="102">
        <f>A11*37000000</f>
        <v>1258000000</v>
      </c>
      <c r="F11" s="102">
        <f>A11*37000</f>
        <v>1258000</v>
      </c>
      <c r="G11" s="102">
        <f>A11*37</f>
        <v>1258</v>
      </c>
      <c r="H11" s="102">
        <f>A11*0.037</f>
        <v>1.258</v>
      </c>
      <c r="I11" s="103">
        <f>A11*0.000037</f>
        <v>1.258E-3</v>
      </c>
      <c r="J11" s="101"/>
      <c r="K11" s="101"/>
      <c r="L11" s="101"/>
      <c r="M11" s="101"/>
    </row>
    <row r="12" spans="1:13" ht="13.5" thickBot="1" x14ac:dyDescent="0.25">
      <c r="A12" s="165">
        <v>40</v>
      </c>
      <c r="B12" s="18" t="s">
        <v>275</v>
      </c>
      <c r="C12" s="105">
        <f>A12*37000000000000000</f>
        <v>1.48E+18</v>
      </c>
      <c r="D12" s="105">
        <f xml:space="preserve"> A12*37000000000000</f>
        <v>1480000000000000</v>
      </c>
      <c r="E12" s="105">
        <f>A12*37000000000</f>
        <v>1480000000000</v>
      </c>
      <c r="F12" s="105">
        <f>A12*37000000</f>
        <v>1480000000</v>
      </c>
      <c r="G12" s="105">
        <f>A12*37000</f>
        <v>1480000</v>
      </c>
      <c r="H12" s="105">
        <f>A12*37</f>
        <v>1480</v>
      </c>
      <c r="I12" s="106">
        <f>A12*0.037</f>
        <v>1.48</v>
      </c>
      <c r="J12" s="101"/>
      <c r="K12" s="101"/>
      <c r="L12" s="101"/>
      <c r="M12" s="101"/>
    </row>
    <row r="13" spans="1:13" x14ac:dyDescent="0.2">
      <c r="A13" s="166"/>
      <c r="B13" s="19"/>
      <c r="C13" s="107"/>
      <c r="D13" s="107"/>
      <c r="E13" s="107"/>
      <c r="F13" s="107"/>
      <c r="G13" s="107"/>
      <c r="H13" s="107"/>
      <c r="I13" s="108"/>
      <c r="J13" s="101"/>
      <c r="K13" s="101"/>
      <c r="L13" s="101"/>
      <c r="M13" s="101"/>
    </row>
    <row r="14" spans="1:13" x14ac:dyDescent="0.2">
      <c r="A14" s="166" t="s">
        <v>171</v>
      </c>
      <c r="B14" s="19"/>
      <c r="C14" s="107"/>
      <c r="D14" s="107"/>
      <c r="E14" s="107"/>
      <c r="F14" s="107"/>
      <c r="G14" s="107"/>
      <c r="H14" s="107"/>
      <c r="I14" s="108"/>
      <c r="J14" s="101"/>
      <c r="K14" s="101"/>
      <c r="L14" s="101"/>
      <c r="M14" s="101"/>
    </row>
    <row r="15" spans="1:13" ht="13.5" thickBot="1" x14ac:dyDescent="0.25">
      <c r="A15" s="167"/>
      <c r="B15" s="2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x14ac:dyDescent="0.2">
      <c r="A16" s="211" t="s">
        <v>206</v>
      </c>
      <c r="B16" s="21" t="s">
        <v>171</v>
      </c>
      <c r="C16" s="109" t="s">
        <v>2976</v>
      </c>
      <c r="D16" s="109" t="s">
        <v>2977</v>
      </c>
      <c r="E16" s="109" t="s">
        <v>2978</v>
      </c>
      <c r="F16" s="109" t="s">
        <v>285</v>
      </c>
      <c r="G16" s="110" t="s">
        <v>2979</v>
      </c>
      <c r="H16" s="101"/>
      <c r="I16" s="101"/>
      <c r="J16" s="101"/>
      <c r="K16" s="101"/>
      <c r="L16" s="101"/>
      <c r="M16" s="101"/>
    </row>
    <row r="17" spans="1:13" x14ac:dyDescent="0.2">
      <c r="A17" s="168">
        <v>1</v>
      </c>
      <c r="B17" s="22" t="s">
        <v>2980</v>
      </c>
      <c r="C17" s="111">
        <f>A17*37*1000000</f>
        <v>37000000</v>
      </c>
      <c r="D17" s="111">
        <f>A17*37*1000</f>
        <v>37000</v>
      </c>
      <c r="E17" s="111">
        <f>A17*37</f>
        <v>37</v>
      </c>
      <c r="F17" s="111">
        <f>A17*37/1000</f>
        <v>3.6999999999999998E-2</v>
      </c>
      <c r="G17" s="112">
        <f>A17*37/1000000</f>
        <v>3.6999999999999998E-5</v>
      </c>
      <c r="H17" s="101"/>
      <c r="I17" s="101"/>
      <c r="J17" s="101"/>
      <c r="K17" s="101"/>
      <c r="L17" s="101"/>
      <c r="M17" s="101"/>
    </row>
    <row r="18" spans="1:13" x14ac:dyDescent="0.2">
      <c r="A18" s="169">
        <v>3</v>
      </c>
      <c r="B18" s="23" t="s">
        <v>265</v>
      </c>
      <c r="C18" s="113">
        <f>A18*37*1000000000</f>
        <v>111000000000</v>
      </c>
      <c r="D18" s="113">
        <f>A18*37*1000000</f>
        <v>111000000</v>
      </c>
      <c r="E18" s="113">
        <f>A18*37*1000</f>
        <v>111000</v>
      </c>
      <c r="F18" s="113">
        <f>A18*37</f>
        <v>111</v>
      </c>
      <c r="G18" s="114">
        <f>A18*37/1000</f>
        <v>0.111</v>
      </c>
      <c r="H18" s="101"/>
      <c r="I18" s="101"/>
      <c r="J18" s="101"/>
      <c r="K18" s="101"/>
      <c r="L18" s="101"/>
      <c r="M18" s="101"/>
    </row>
    <row r="19" spans="1:13" x14ac:dyDescent="0.2">
      <c r="A19" s="168">
        <v>1</v>
      </c>
      <c r="B19" s="22" t="s">
        <v>267</v>
      </c>
      <c r="C19" s="111">
        <f>A19*37*1000000000000</f>
        <v>37000000000000</v>
      </c>
      <c r="D19" s="111">
        <f>A19*37*1000000000</f>
        <v>37000000000</v>
      </c>
      <c r="E19" s="111">
        <f>A19*37*1000000</f>
        <v>37000000</v>
      </c>
      <c r="F19" s="111">
        <f>A19*37*1000</f>
        <v>37000</v>
      </c>
      <c r="G19" s="112">
        <f>A19*37</f>
        <v>37</v>
      </c>
      <c r="H19" s="101"/>
      <c r="I19" s="101"/>
      <c r="J19" s="101"/>
      <c r="K19" s="101"/>
      <c r="L19" s="101"/>
      <c r="M19" s="101"/>
    </row>
    <row r="20" spans="1:13" ht="13.5" thickBot="1" x14ac:dyDescent="0.25">
      <c r="A20" s="170">
        <v>1</v>
      </c>
      <c r="B20" s="24" t="s">
        <v>269</v>
      </c>
      <c r="C20" s="115">
        <f>A20*37*1000000000000000</f>
        <v>3.7E+16</v>
      </c>
      <c r="D20" s="115">
        <f>A20*37*1000000000000</f>
        <v>37000000000000</v>
      </c>
      <c r="E20" s="115">
        <f>A20*37*1000000000</f>
        <v>37000000000</v>
      </c>
      <c r="F20" s="115">
        <f>A20*37*1000000</f>
        <v>37000000</v>
      </c>
      <c r="G20" s="116">
        <f>A20*37*1000</f>
        <v>37000</v>
      </c>
      <c r="H20" s="101"/>
      <c r="I20" s="101"/>
      <c r="J20" s="101"/>
      <c r="K20" s="101"/>
      <c r="L20" s="101"/>
      <c r="M20" s="101"/>
    </row>
    <row r="21" spans="1:13" x14ac:dyDescent="0.2">
      <c r="A21" s="171"/>
      <c r="B21" s="20"/>
      <c r="C21" s="108"/>
      <c r="D21" s="108"/>
      <c r="E21" s="108"/>
      <c r="F21" s="108"/>
      <c r="G21" s="108"/>
      <c r="H21" s="101"/>
      <c r="I21" s="101"/>
      <c r="J21" s="101"/>
      <c r="K21" s="101"/>
      <c r="L21" s="101"/>
      <c r="M21" s="101"/>
    </row>
    <row r="22" spans="1:13" x14ac:dyDescent="0.2">
      <c r="A22" s="171"/>
      <c r="B22" s="20"/>
      <c r="C22" s="108"/>
      <c r="D22" s="108"/>
      <c r="E22" s="108"/>
      <c r="F22" s="108"/>
      <c r="G22" s="108"/>
      <c r="H22" s="101"/>
      <c r="I22" s="101"/>
      <c r="J22" s="101"/>
      <c r="K22" s="101"/>
      <c r="L22" s="101"/>
      <c r="M22" s="101"/>
    </row>
    <row r="23" spans="1:13" ht="13.5" thickBot="1" x14ac:dyDescent="0.25">
      <c r="A23" s="167"/>
      <c r="B23" s="2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2" t="s">
        <v>2981</v>
      </c>
      <c r="B24" s="25"/>
      <c r="C24" s="109" t="s">
        <v>2982</v>
      </c>
      <c r="D24" s="109" t="s">
        <v>2983</v>
      </c>
      <c r="E24" s="109" t="s">
        <v>2984</v>
      </c>
      <c r="F24" s="109" t="s">
        <v>2985</v>
      </c>
      <c r="G24" s="109" t="s">
        <v>2986</v>
      </c>
      <c r="H24" s="110" t="s">
        <v>2987</v>
      </c>
      <c r="I24" s="101"/>
      <c r="J24" s="101"/>
      <c r="K24" s="101"/>
      <c r="L24" s="101"/>
      <c r="M24" s="101"/>
    </row>
    <row r="25" spans="1:13" x14ac:dyDescent="0.2">
      <c r="A25" s="163">
        <v>1</v>
      </c>
      <c r="B25" s="15" t="s">
        <v>2988</v>
      </c>
      <c r="C25" s="111">
        <f>A25*10</f>
        <v>10</v>
      </c>
      <c r="D25" s="111">
        <f>A25*0.01</f>
        <v>0.01</v>
      </c>
      <c r="E25" s="111">
        <f>A25*0.00001</f>
        <v>1.0000000000000001E-5</v>
      </c>
      <c r="F25" s="111">
        <f>A25*0.00000001</f>
        <v>1E-8</v>
      </c>
      <c r="G25" s="111">
        <f>A25*0.00000000001</f>
        <v>9.9999999999999994E-12</v>
      </c>
      <c r="H25" s="112">
        <f>A25*0.00000000000001</f>
        <v>1E-14</v>
      </c>
      <c r="I25" s="101"/>
      <c r="J25" s="101"/>
      <c r="K25" s="101"/>
      <c r="L25" s="101"/>
      <c r="M25" s="101"/>
    </row>
    <row r="26" spans="1:13" x14ac:dyDescent="0.2">
      <c r="A26" s="172">
        <v>0.5</v>
      </c>
      <c r="B26" s="27" t="s">
        <v>2989</v>
      </c>
      <c r="C26" s="113">
        <f>A26*10000</f>
        <v>5000</v>
      </c>
      <c r="D26" s="113">
        <f>A26*10</f>
        <v>5</v>
      </c>
      <c r="E26" s="113">
        <f>A26*0.01</f>
        <v>5.0000000000000001E-3</v>
      </c>
      <c r="F26" s="113">
        <f>A26*0.00001</f>
        <v>5.0000000000000004E-6</v>
      </c>
      <c r="G26" s="113">
        <f>A26*0.00000001</f>
        <v>5.0000000000000001E-9</v>
      </c>
      <c r="H26" s="114">
        <f>A26*0.00000000001</f>
        <v>4.9999999999999997E-12</v>
      </c>
      <c r="I26" s="101"/>
      <c r="J26" s="101"/>
      <c r="K26" s="101"/>
      <c r="L26" s="101"/>
      <c r="M26" s="101"/>
    </row>
    <row r="27" spans="1:13" x14ac:dyDescent="0.2">
      <c r="A27" s="163">
        <v>1</v>
      </c>
      <c r="B27" s="15" t="s">
        <v>2990</v>
      </c>
      <c r="C27" s="111">
        <f>A27*10000000</f>
        <v>10000000</v>
      </c>
      <c r="D27" s="111">
        <f>A27*10000</f>
        <v>10000</v>
      </c>
      <c r="E27" s="111">
        <f>A27*10</f>
        <v>10</v>
      </c>
      <c r="F27" s="111">
        <f>A27*0.01</f>
        <v>0.01</v>
      </c>
      <c r="G27" s="111">
        <f>A27*0.00001</f>
        <v>1.0000000000000001E-5</v>
      </c>
      <c r="H27" s="112">
        <f>A27*0.00000001</f>
        <v>1E-8</v>
      </c>
      <c r="I27" s="101"/>
      <c r="J27" s="101"/>
      <c r="K27" s="101"/>
      <c r="L27" s="101"/>
      <c r="M27" s="101"/>
    </row>
    <row r="28" spans="1:13" x14ac:dyDescent="0.2">
      <c r="A28" s="172">
        <v>1</v>
      </c>
      <c r="B28" s="27" t="s">
        <v>2991</v>
      </c>
      <c r="C28" s="113">
        <f>A28*10000000000</f>
        <v>10000000000</v>
      </c>
      <c r="D28" s="113">
        <f>A28*10000000</f>
        <v>10000000</v>
      </c>
      <c r="E28" s="113">
        <f>A28*10000</f>
        <v>10000</v>
      </c>
      <c r="F28" s="113">
        <f>A28*10</f>
        <v>10</v>
      </c>
      <c r="G28" s="113">
        <f>A28*0.01</f>
        <v>0.01</v>
      </c>
      <c r="H28" s="114">
        <f>A28*0.00001</f>
        <v>1.0000000000000001E-5</v>
      </c>
      <c r="I28" s="101"/>
      <c r="J28" s="101"/>
      <c r="K28" s="101"/>
      <c r="L28" s="101"/>
      <c r="M28" s="101"/>
    </row>
    <row r="29" spans="1:13" ht="13.5" thickBot="1" x14ac:dyDescent="0.25">
      <c r="A29" s="173">
        <v>1</v>
      </c>
      <c r="B29" s="18" t="s">
        <v>2992</v>
      </c>
      <c r="C29" s="117">
        <f>A29*10000000000000</f>
        <v>10000000000000</v>
      </c>
      <c r="D29" s="117">
        <f>A29*10000000000</f>
        <v>10000000000</v>
      </c>
      <c r="E29" s="117">
        <f>A29*10000000</f>
        <v>10000000</v>
      </c>
      <c r="F29" s="117">
        <f>A29*10000</f>
        <v>10000</v>
      </c>
      <c r="G29" s="117">
        <f>A29*10</f>
        <v>10</v>
      </c>
      <c r="H29" s="118">
        <f>A29*0.01</f>
        <v>0.01</v>
      </c>
      <c r="I29" s="101"/>
      <c r="J29" s="101"/>
      <c r="K29" s="101"/>
      <c r="L29" s="101"/>
      <c r="M29" s="101"/>
    </row>
    <row r="30" spans="1:13" x14ac:dyDescent="0.2">
      <c r="A30" s="171"/>
      <c r="B30" s="19"/>
      <c r="C30" s="119"/>
      <c r="D30" s="119"/>
      <c r="E30" s="119"/>
      <c r="F30" s="119"/>
      <c r="G30" s="119"/>
      <c r="H30" s="101"/>
      <c r="I30" s="101"/>
      <c r="J30" s="101"/>
      <c r="K30" s="101"/>
      <c r="L30" s="101"/>
      <c r="M30" s="101"/>
    </row>
    <row r="31" spans="1:13" x14ac:dyDescent="0.2">
      <c r="A31" s="174"/>
      <c r="B31" s="2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pans="1:13" ht="13.5" thickBot="1" x14ac:dyDescent="0.25">
      <c r="A32" s="167" t="s">
        <v>171</v>
      </c>
      <c r="B32" s="20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</row>
    <row r="33" spans="1:13" x14ac:dyDescent="0.2">
      <c r="A33" s="212" t="s">
        <v>2993</v>
      </c>
      <c r="B33" s="25"/>
      <c r="C33" s="109" t="s">
        <v>2994</v>
      </c>
      <c r="D33" s="109" t="s">
        <v>2995</v>
      </c>
      <c r="E33" s="109" t="s">
        <v>2996</v>
      </c>
      <c r="F33" s="109" t="s">
        <v>2997</v>
      </c>
      <c r="G33" s="109" t="s">
        <v>2998</v>
      </c>
      <c r="H33" s="110" t="s">
        <v>2999</v>
      </c>
      <c r="I33" s="101"/>
      <c r="J33" s="101"/>
      <c r="K33" s="101"/>
      <c r="L33" s="101"/>
      <c r="M33" s="101"/>
    </row>
    <row r="34" spans="1:13" x14ac:dyDescent="0.2">
      <c r="A34" s="163">
        <v>100</v>
      </c>
      <c r="B34" s="15" t="s">
        <v>3000</v>
      </c>
      <c r="C34" s="111">
        <f>A34*10</f>
        <v>1000</v>
      </c>
      <c r="D34" s="111">
        <f>A34*0.01</f>
        <v>1</v>
      </c>
      <c r="E34" s="111">
        <f>A34*0.00001</f>
        <v>1E-3</v>
      </c>
      <c r="F34" s="111">
        <f>A34*0.00000001</f>
        <v>9.9999999999999995E-7</v>
      </c>
      <c r="G34" s="111">
        <f>A34*0.00000000001</f>
        <v>9.9999999999999986E-10</v>
      </c>
      <c r="H34" s="112">
        <f>A34*0.00000000000001</f>
        <v>9.9999999999999998E-13</v>
      </c>
      <c r="I34" s="101"/>
      <c r="J34" s="101"/>
      <c r="K34" s="101"/>
      <c r="L34" s="101"/>
      <c r="M34" s="101"/>
    </row>
    <row r="35" spans="1:13" x14ac:dyDescent="0.2">
      <c r="A35" s="172">
        <v>1E-3</v>
      </c>
      <c r="B35" s="27" t="s">
        <v>3001</v>
      </c>
      <c r="C35" s="113">
        <f>A35*10000</f>
        <v>10</v>
      </c>
      <c r="D35" s="113">
        <f>A35*10</f>
        <v>0.01</v>
      </c>
      <c r="E35" s="113">
        <f>A35*0.01</f>
        <v>1.0000000000000001E-5</v>
      </c>
      <c r="F35" s="113">
        <f>A35*0.00001</f>
        <v>1E-8</v>
      </c>
      <c r="G35" s="113">
        <f>A35*0.00000001</f>
        <v>1.0000000000000001E-11</v>
      </c>
      <c r="H35" s="114">
        <f>A35*0.00000000001</f>
        <v>1E-14</v>
      </c>
      <c r="I35" s="101"/>
      <c r="J35" s="101"/>
      <c r="K35" s="101"/>
      <c r="L35" s="101"/>
      <c r="M35" s="101"/>
    </row>
    <row r="36" spans="1:13" x14ac:dyDescent="0.2">
      <c r="A36" s="163">
        <v>100</v>
      </c>
      <c r="B36" s="15" t="s">
        <v>3002</v>
      </c>
      <c r="C36" s="111">
        <f>A36*10000000</f>
        <v>1000000000</v>
      </c>
      <c r="D36" s="111">
        <f>A36*10000</f>
        <v>1000000</v>
      </c>
      <c r="E36" s="111">
        <f>A36*10</f>
        <v>1000</v>
      </c>
      <c r="F36" s="111">
        <f>A36*0.01</f>
        <v>1</v>
      </c>
      <c r="G36" s="111">
        <f>A36*0.00001</f>
        <v>1E-3</v>
      </c>
      <c r="H36" s="112">
        <f>A36*0.00000001</f>
        <v>9.9999999999999995E-7</v>
      </c>
      <c r="I36" s="101"/>
      <c r="J36" s="101"/>
      <c r="K36" s="101"/>
      <c r="L36" s="101"/>
      <c r="M36" s="101"/>
    </row>
    <row r="37" spans="1:13" x14ac:dyDescent="0.2">
      <c r="A37" s="172">
        <v>100</v>
      </c>
      <c r="B37" s="27" t="s">
        <v>3003</v>
      </c>
      <c r="C37" s="113">
        <f>A37*10000000000</f>
        <v>1000000000000</v>
      </c>
      <c r="D37" s="113">
        <f>A37*10000000</f>
        <v>1000000000</v>
      </c>
      <c r="E37" s="113">
        <f>A37*10000</f>
        <v>1000000</v>
      </c>
      <c r="F37" s="113">
        <f>A37*10</f>
        <v>1000</v>
      </c>
      <c r="G37" s="113">
        <f>A37*0.01</f>
        <v>1</v>
      </c>
      <c r="H37" s="114">
        <f>A37*0.00001</f>
        <v>1E-3</v>
      </c>
      <c r="I37" s="101"/>
      <c r="J37" s="101"/>
      <c r="K37" s="101"/>
      <c r="L37" s="101"/>
      <c r="M37" s="101"/>
    </row>
    <row r="38" spans="1:13" ht="13.5" thickBot="1" x14ac:dyDescent="0.25">
      <c r="A38" s="165">
        <v>100</v>
      </c>
      <c r="B38" s="18" t="s">
        <v>3004</v>
      </c>
      <c r="C38" s="117">
        <f>A38*10000000000000</f>
        <v>1000000000000000</v>
      </c>
      <c r="D38" s="117">
        <f>A38*10000000000</f>
        <v>1000000000000</v>
      </c>
      <c r="E38" s="117">
        <f>A38*10000000</f>
        <v>1000000000</v>
      </c>
      <c r="F38" s="117">
        <f>A38*10000</f>
        <v>1000000</v>
      </c>
      <c r="G38" s="117">
        <f>A38*10</f>
        <v>1000</v>
      </c>
      <c r="H38" s="118">
        <f>A38*0.01</f>
        <v>1</v>
      </c>
      <c r="I38" s="101"/>
      <c r="J38" s="101"/>
      <c r="K38" s="101"/>
      <c r="L38" s="101"/>
      <c r="M38" s="101"/>
    </row>
    <row r="39" spans="1:13" x14ac:dyDescent="0.2">
      <c r="A39" s="167"/>
      <c r="B39" s="2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 x14ac:dyDescent="0.2">
      <c r="A40" s="167"/>
      <c r="B40" s="20"/>
      <c r="C40" s="101"/>
      <c r="D40" s="101"/>
      <c r="E40" s="101"/>
      <c r="F40" s="101"/>
      <c r="G40" s="101"/>
      <c r="H40" s="101"/>
      <c r="I40" s="101" t="s">
        <v>171</v>
      </c>
      <c r="J40" s="101"/>
      <c r="K40" s="101"/>
      <c r="L40" s="101"/>
      <c r="M40" s="101"/>
    </row>
    <row r="41" spans="1:13" ht="13.5" thickBot="1" x14ac:dyDescent="0.25">
      <c r="A41" s="175" t="s">
        <v>3005</v>
      </c>
      <c r="B41" s="28"/>
      <c r="C41" s="120"/>
      <c r="D41" s="120"/>
      <c r="E41" s="120"/>
      <c r="F41" s="120"/>
      <c r="G41" s="120"/>
      <c r="H41" s="120"/>
      <c r="M41" s="101"/>
    </row>
    <row r="42" spans="1:13" x14ac:dyDescent="0.2">
      <c r="A42" s="213" t="s">
        <v>3008</v>
      </c>
      <c r="B42" s="29"/>
      <c r="C42" s="109" t="s">
        <v>2982</v>
      </c>
      <c r="D42" s="109" t="s">
        <v>2983</v>
      </c>
      <c r="E42" s="109" t="s">
        <v>2984</v>
      </c>
      <c r="F42" s="109" t="s">
        <v>2985</v>
      </c>
      <c r="G42" s="109" t="s">
        <v>2986</v>
      </c>
      <c r="H42" s="110" t="s">
        <v>2987</v>
      </c>
      <c r="I42" s="101"/>
      <c r="J42" s="101"/>
      <c r="K42" s="101"/>
      <c r="L42" s="101"/>
      <c r="M42" s="101"/>
    </row>
    <row r="43" spans="1:13" x14ac:dyDescent="0.2">
      <c r="A43" s="163">
        <v>1</v>
      </c>
      <c r="B43" s="15" t="s">
        <v>3009</v>
      </c>
      <c r="C43" s="111">
        <f>A43*10*F3</f>
        <v>8.76</v>
      </c>
      <c r="D43" s="111">
        <f>A43*0.01*F3</f>
        <v>8.7600000000000004E-3</v>
      </c>
      <c r="E43" s="111">
        <f>A43*0.00001*F3</f>
        <v>8.7600000000000008E-6</v>
      </c>
      <c r="F43" s="111">
        <f>A43*0.00000001*F3</f>
        <v>8.7600000000000004E-9</v>
      </c>
      <c r="G43" s="111">
        <f>A43*0.00000000001*F3</f>
        <v>8.759999999999999E-12</v>
      </c>
      <c r="H43" s="112">
        <f>A43*0.00000000000001*F3</f>
        <v>8.7600000000000003E-15</v>
      </c>
      <c r="I43" s="101"/>
      <c r="J43" s="101"/>
      <c r="K43" s="101"/>
      <c r="L43" s="101"/>
      <c r="M43" s="101"/>
    </row>
    <row r="44" spans="1:13" x14ac:dyDescent="0.2">
      <c r="A44" s="172">
        <v>1</v>
      </c>
      <c r="B44" s="27" t="s">
        <v>3010</v>
      </c>
      <c r="C44" s="113">
        <f>A44*10000*F3</f>
        <v>8760</v>
      </c>
      <c r="D44" s="113">
        <f>A44*10*F3</f>
        <v>8.76</v>
      </c>
      <c r="E44" s="113">
        <f>A44*0.01*F3</f>
        <v>8.7600000000000004E-3</v>
      </c>
      <c r="F44" s="113">
        <f>A44*0.00001*F3</f>
        <v>8.7600000000000008E-6</v>
      </c>
      <c r="G44" s="113">
        <f>A44*0.00000001*F3</f>
        <v>8.7600000000000004E-9</v>
      </c>
      <c r="H44" s="114">
        <f>A44*0.00000000001*F3</f>
        <v>8.759999999999999E-12</v>
      </c>
      <c r="I44" s="101"/>
      <c r="J44" s="101"/>
      <c r="K44" s="101"/>
      <c r="L44" s="101"/>
      <c r="M44" s="101"/>
    </row>
    <row r="45" spans="1:13" x14ac:dyDescent="0.2">
      <c r="A45" s="163">
        <v>1</v>
      </c>
      <c r="B45" s="15" t="s">
        <v>3011</v>
      </c>
      <c r="C45" s="111">
        <f>A45*10000000*F3</f>
        <v>8760000</v>
      </c>
      <c r="D45" s="111">
        <f>A45*10000*F3</f>
        <v>8760</v>
      </c>
      <c r="E45" s="111">
        <f>A45*10*F3</f>
        <v>8.76</v>
      </c>
      <c r="F45" s="111">
        <f>A45*0.01*F3</f>
        <v>8.7600000000000004E-3</v>
      </c>
      <c r="G45" s="111">
        <f>A45*0.00001*F3</f>
        <v>8.7600000000000008E-6</v>
      </c>
      <c r="H45" s="112">
        <f>A45*0.00000001*F3</f>
        <v>8.7600000000000004E-9</v>
      </c>
      <c r="I45" s="101"/>
      <c r="J45" s="101"/>
      <c r="K45" s="101"/>
      <c r="L45" s="101"/>
      <c r="M45" s="101"/>
    </row>
    <row r="46" spans="1:13" x14ac:dyDescent="0.2">
      <c r="A46" s="172">
        <v>1</v>
      </c>
      <c r="B46" s="27" t="s">
        <v>3012</v>
      </c>
      <c r="C46" s="113">
        <f>A46*10000000000*F3</f>
        <v>8760000000</v>
      </c>
      <c r="D46" s="113">
        <f>A46*10000000*F3</f>
        <v>8760000</v>
      </c>
      <c r="E46" s="113">
        <f>A46*10000*F3</f>
        <v>8760</v>
      </c>
      <c r="F46" s="113">
        <f>A46*10*F3</f>
        <v>8.76</v>
      </c>
      <c r="G46" s="113">
        <f>A46*0.01*F3</f>
        <v>8.7600000000000004E-3</v>
      </c>
      <c r="H46" s="114">
        <f>A46*0.00001*F3</f>
        <v>8.7600000000000008E-6</v>
      </c>
      <c r="I46" s="101"/>
      <c r="J46" s="101"/>
      <c r="K46" s="101"/>
      <c r="L46" s="101"/>
      <c r="M46" s="101"/>
    </row>
    <row r="47" spans="1:13" ht="13.5" thickBot="1" x14ac:dyDescent="0.25">
      <c r="A47" s="165">
        <v>1</v>
      </c>
      <c r="B47" s="18" t="s">
        <v>3013</v>
      </c>
      <c r="C47" s="117">
        <f>A47*10000000000000*F3</f>
        <v>8760000000000</v>
      </c>
      <c r="D47" s="117">
        <f>A47*10000000000*F3</f>
        <v>8760000000</v>
      </c>
      <c r="E47" s="117">
        <f>A47*10000000*F3</f>
        <v>8760000</v>
      </c>
      <c r="F47" s="117">
        <f>A47*10000*F3</f>
        <v>8760</v>
      </c>
      <c r="G47" s="117">
        <f>A47*10*F3</f>
        <v>8.76</v>
      </c>
      <c r="H47" s="118">
        <f>A47*0.01*F3</f>
        <v>8.7600000000000004E-3</v>
      </c>
      <c r="I47" s="101"/>
      <c r="J47" s="101"/>
      <c r="K47" s="101"/>
      <c r="L47" s="101"/>
      <c r="M47" s="101"/>
    </row>
    <row r="48" spans="1:13" x14ac:dyDescent="0.2">
      <c r="A48" s="167"/>
      <c r="B48" s="2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 x14ac:dyDescent="0.2">
      <c r="A49" s="167"/>
      <c r="B49" s="2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 ht="13.5" thickBot="1" x14ac:dyDescent="0.25">
      <c r="A50" s="167"/>
      <c r="B50" s="2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1:13" x14ac:dyDescent="0.2">
      <c r="A51" s="213" t="s">
        <v>3008</v>
      </c>
      <c r="B51" s="29"/>
      <c r="C51" s="109" t="s">
        <v>3014</v>
      </c>
      <c r="D51" s="109" t="s">
        <v>3015</v>
      </c>
      <c r="E51" s="109" t="s">
        <v>3016</v>
      </c>
      <c r="F51" s="109" t="s">
        <v>3017</v>
      </c>
      <c r="G51" s="110" t="s">
        <v>3018</v>
      </c>
      <c r="H51" s="101"/>
      <c r="I51" s="101"/>
      <c r="J51" s="101"/>
      <c r="K51" s="101"/>
      <c r="L51" s="101"/>
      <c r="M51" s="101"/>
    </row>
    <row r="52" spans="1:13" x14ac:dyDescent="0.2">
      <c r="A52" s="219">
        <v>1</v>
      </c>
      <c r="B52" s="15" t="s">
        <v>3009</v>
      </c>
      <c r="C52" s="111">
        <f>$A$52*0.000258/1</f>
        <v>2.5799999999999998E-4</v>
      </c>
      <c r="D52" s="111">
        <f>$A$52*0.000258/1000</f>
        <v>2.5800000000000001E-7</v>
      </c>
      <c r="E52" s="111">
        <f>$A$52*0.000258/1000000</f>
        <v>2.5799999999999999E-10</v>
      </c>
      <c r="F52" s="111">
        <f>$A$52*0.000258/1000000000</f>
        <v>2.5799999999999996E-13</v>
      </c>
      <c r="G52" s="112">
        <f>$A$52*0.000258/1000000000000</f>
        <v>2.58E-16</v>
      </c>
      <c r="H52" s="101"/>
      <c r="I52" s="101"/>
      <c r="J52" s="101"/>
      <c r="K52" s="101"/>
      <c r="L52" s="101"/>
      <c r="M52" s="101"/>
    </row>
    <row r="53" spans="1:13" x14ac:dyDescent="0.2">
      <c r="A53" s="220">
        <v>1</v>
      </c>
      <c r="B53" s="27" t="s">
        <v>3010</v>
      </c>
      <c r="C53" s="113">
        <f>$A$53*0.000258*1000</f>
        <v>0.25800000000000001</v>
      </c>
      <c r="D53" s="113">
        <f>$A$53*0.000258</f>
        <v>2.5799999999999998E-4</v>
      </c>
      <c r="E53" s="113">
        <f>$A$53*0.000258/1000</f>
        <v>2.5800000000000001E-7</v>
      </c>
      <c r="F53" s="113">
        <f>$A$53*0.000258/1000000</f>
        <v>2.5799999999999999E-10</v>
      </c>
      <c r="G53" s="114">
        <f>$A$53*0.000258/1000000000</f>
        <v>2.5799999999999996E-13</v>
      </c>
      <c r="H53" s="101"/>
      <c r="I53" s="101"/>
      <c r="J53" s="101"/>
      <c r="K53" s="101"/>
      <c r="L53" s="101"/>
      <c r="M53" s="101"/>
    </row>
    <row r="54" spans="1:13" x14ac:dyDescent="0.2">
      <c r="A54" s="219">
        <v>1</v>
      </c>
      <c r="B54" s="15" t="s">
        <v>3011</v>
      </c>
      <c r="C54" s="111">
        <f>$A$54*0.000258*1000000</f>
        <v>258</v>
      </c>
      <c r="D54" s="111">
        <f>$A$54*0.000258*1000</f>
        <v>0.25800000000000001</v>
      </c>
      <c r="E54" s="111">
        <f>$A$54*0.000258</f>
        <v>2.5799999999999998E-4</v>
      </c>
      <c r="F54" s="111">
        <f>$A$54*0.000258/1000</f>
        <v>2.5800000000000001E-7</v>
      </c>
      <c r="G54" s="112">
        <f>$A$54*0.000258/1000000</f>
        <v>2.5799999999999999E-10</v>
      </c>
      <c r="H54" s="101"/>
      <c r="I54" s="101"/>
      <c r="J54" s="101"/>
      <c r="K54" s="101"/>
      <c r="L54" s="101"/>
      <c r="M54" s="101"/>
    </row>
    <row r="55" spans="1:13" x14ac:dyDescent="0.2">
      <c r="A55" s="220">
        <v>1</v>
      </c>
      <c r="B55" s="27" t="s">
        <v>3012</v>
      </c>
      <c r="C55" s="113">
        <f>$A$55*0.000258*1000000000</f>
        <v>257999.99999999997</v>
      </c>
      <c r="D55" s="113">
        <f>$A$55*0.000258*1000000</f>
        <v>258</v>
      </c>
      <c r="E55" s="113">
        <f>$A$55*0.000258*1000</f>
        <v>0.25800000000000001</v>
      </c>
      <c r="F55" s="113">
        <f>$A$55*0.000258</f>
        <v>2.5799999999999998E-4</v>
      </c>
      <c r="G55" s="114">
        <f>$A$55*0.000258/1000</f>
        <v>2.5800000000000001E-7</v>
      </c>
      <c r="H55" s="101"/>
      <c r="I55" s="101"/>
      <c r="J55" s="101"/>
      <c r="K55" s="101"/>
      <c r="L55" s="101"/>
      <c r="M55" s="101"/>
    </row>
    <row r="56" spans="1:13" ht="13.5" thickBot="1" x14ac:dyDescent="0.25">
      <c r="A56" s="221">
        <v>1</v>
      </c>
      <c r="B56" s="18" t="s">
        <v>3013</v>
      </c>
      <c r="C56" s="117">
        <f>$A$56*0.000258*1000000000000</f>
        <v>257999999.99999997</v>
      </c>
      <c r="D56" s="117">
        <f>$A$56*0.000258*1000000000</f>
        <v>257999.99999999997</v>
      </c>
      <c r="E56" s="117">
        <f>$A$56*0.000258*1000000</f>
        <v>258</v>
      </c>
      <c r="F56" s="117">
        <f>$A$56*0.000258*1000</f>
        <v>0.25800000000000001</v>
      </c>
      <c r="G56" s="118">
        <f>$A$56*0.000258</f>
        <v>2.5799999999999998E-4</v>
      </c>
      <c r="H56" s="101"/>
      <c r="I56" s="101"/>
      <c r="J56" s="101"/>
      <c r="K56" s="101"/>
      <c r="L56" s="101"/>
      <c r="M56" s="101"/>
    </row>
    <row r="57" spans="1:13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1:13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</row>
    <row r="59" spans="1:13" ht="13.5" thickBot="1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3" x14ac:dyDescent="0.2">
      <c r="A60" s="213" t="s">
        <v>206</v>
      </c>
      <c r="B60" s="30"/>
      <c r="C60" s="121" t="s">
        <v>3019</v>
      </c>
      <c r="D60" s="121" t="s">
        <v>3020</v>
      </c>
      <c r="E60" s="121" t="s">
        <v>3021</v>
      </c>
      <c r="F60" s="121" t="s">
        <v>3022</v>
      </c>
      <c r="G60" s="121" t="s">
        <v>3023</v>
      </c>
      <c r="H60" s="121" t="s">
        <v>3024</v>
      </c>
      <c r="I60" s="121" t="s">
        <v>3025</v>
      </c>
      <c r="J60" s="121" t="s">
        <v>3026</v>
      </c>
      <c r="K60" s="122" t="s">
        <v>3027</v>
      </c>
      <c r="L60" s="101"/>
      <c r="M60" s="101"/>
    </row>
    <row r="61" spans="1:13" x14ac:dyDescent="0.2">
      <c r="A61" s="163">
        <v>100</v>
      </c>
      <c r="B61" s="31" t="s">
        <v>3028</v>
      </c>
      <c r="C61" s="123">
        <f>A61*37*1000000000000</f>
        <v>3700000000000000</v>
      </c>
      <c r="D61" s="123">
        <f>A61*37*1000000000</f>
        <v>3700000000000</v>
      </c>
      <c r="E61" s="123">
        <f>A61*37*1000000</f>
        <v>3700000000</v>
      </c>
      <c r="F61" s="123">
        <f>A61*37*1000</f>
        <v>3700000</v>
      </c>
      <c r="G61" s="123">
        <f>A61*37</f>
        <v>3700</v>
      </c>
      <c r="H61" s="123">
        <f>A61*0.037</f>
        <v>3.6999999999999997</v>
      </c>
      <c r="I61" s="123">
        <f>A61*0.000037</f>
        <v>3.6999999999999997E-3</v>
      </c>
      <c r="J61" s="123">
        <f>A61*0.000000037</f>
        <v>3.7000000000000002E-6</v>
      </c>
      <c r="K61" s="124">
        <f>A61*0.000000000037</f>
        <v>3.7E-9</v>
      </c>
      <c r="L61" s="101"/>
      <c r="M61" s="101"/>
    </row>
    <row r="62" spans="1:13" x14ac:dyDescent="0.2">
      <c r="A62" s="172">
        <v>1</v>
      </c>
      <c r="B62" s="32" t="s">
        <v>3029</v>
      </c>
      <c r="C62" s="125">
        <f>A62*37*1000000000000000</f>
        <v>3.7E+16</v>
      </c>
      <c r="D62" s="125">
        <f>A62*37*1000000000000</f>
        <v>37000000000000</v>
      </c>
      <c r="E62" s="125">
        <f>A62*37*1000000000</f>
        <v>37000000000</v>
      </c>
      <c r="F62" s="125">
        <f>A62*37*1000000</f>
        <v>37000000</v>
      </c>
      <c r="G62" s="125">
        <f>A62*37*1000</f>
        <v>37000</v>
      </c>
      <c r="H62" s="125">
        <f>A62*37</f>
        <v>37</v>
      </c>
      <c r="I62" s="125">
        <f>A62*0.037</f>
        <v>3.6999999999999998E-2</v>
      </c>
      <c r="J62" s="125">
        <f>A62*0.000037</f>
        <v>3.6999999999999998E-5</v>
      </c>
      <c r="K62" s="126">
        <f>A62*0.000000037</f>
        <v>3.7E-8</v>
      </c>
      <c r="L62" s="101"/>
      <c r="M62" s="101"/>
    </row>
    <row r="63" spans="1:13" x14ac:dyDescent="0.2">
      <c r="A63" s="176">
        <v>1</v>
      </c>
      <c r="B63" s="33" t="s">
        <v>3030</v>
      </c>
      <c r="C63" s="123">
        <f>A63*37*1000000000000000000</f>
        <v>3.7E+19</v>
      </c>
      <c r="D63" s="123">
        <f>A63*37*1000000000000000</f>
        <v>3.7E+16</v>
      </c>
      <c r="E63" s="123">
        <f>A63*37*1000000000000</f>
        <v>37000000000000</v>
      </c>
      <c r="F63" s="123">
        <f>A63*37*1000000000</f>
        <v>37000000000</v>
      </c>
      <c r="G63" s="123">
        <f>A63*37*1000000</f>
        <v>37000000</v>
      </c>
      <c r="H63" s="123">
        <f>A63*37*1000</f>
        <v>37000</v>
      </c>
      <c r="I63" s="123">
        <f>A63*37</f>
        <v>37</v>
      </c>
      <c r="J63" s="123">
        <f>A63*0.037</f>
        <v>3.6999999999999998E-2</v>
      </c>
      <c r="K63" s="124">
        <f>A63*0.000037</f>
        <v>3.6999999999999998E-5</v>
      </c>
      <c r="L63" s="101"/>
      <c r="M63" s="101"/>
    </row>
    <row r="64" spans="1:13" x14ac:dyDescent="0.2">
      <c r="A64" s="172">
        <v>1</v>
      </c>
      <c r="B64" s="32" t="s">
        <v>3031</v>
      </c>
      <c r="C64" s="125">
        <f>A64*37*1E+21</f>
        <v>3.6999999999999998E+22</v>
      </c>
      <c r="D64" s="125">
        <f>A64*37*1000000000000000000</f>
        <v>3.7E+19</v>
      </c>
      <c r="E64" s="125">
        <f>A64*37*1000000000000000</f>
        <v>3.7E+16</v>
      </c>
      <c r="F64" s="125">
        <f>A64*37*1000000000000</f>
        <v>37000000000000</v>
      </c>
      <c r="G64" s="125">
        <f>A64*37000000000</f>
        <v>37000000000</v>
      </c>
      <c r="H64" s="125">
        <f>A64*37000000</f>
        <v>37000000</v>
      </c>
      <c r="I64" s="125">
        <f>A64*37000</f>
        <v>37000</v>
      </c>
      <c r="J64" s="125">
        <f>A64*37</f>
        <v>37</v>
      </c>
      <c r="K64" s="126">
        <f>A64*37/1000</f>
        <v>3.6999999999999998E-2</v>
      </c>
      <c r="L64" s="101"/>
      <c r="M64" s="101"/>
    </row>
    <row r="65" spans="1:13" x14ac:dyDescent="0.2">
      <c r="A65" s="177"/>
      <c r="B65" s="34"/>
      <c r="C65" s="127"/>
      <c r="D65" s="127"/>
      <c r="E65" s="127"/>
      <c r="F65" s="127"/>
      <c r="G65" s="127"/>
      <c r="H65" s="127"/>
      <c r="I65" s="127"/>
      <c r="J65" s="128"/>
      <c r="K65" s="129"/>
      <c r="L65" s="101"/>
      <c r="M65" s="101"/>
    </row>
    <row r="66" spans="1:13" x14ac:dyDescent="0.2">
      <c r="A66" s="178">
        <v>1</v>
      </c>
      <c r="B66" s="33" t="s">
        <v>3032</v>
      </c>
      <c r="C66" s="123">
        <f>A66*37*1000000000*1000000</f>
        <v>3.7E+16</v>
      </c>
      <c r="D66" s="123">
        <f>A66*37*1000000000000</f>
        <v>37000000000000</v>
      </c>
      <c r="E66" s="123">
        <f>A66*37*1000000000</f>
        <v>37000000000</v>
      </c>
      <c r="F66" s="123">
        <f>A66*37*1000000</f>
        <v>37000000</v>
      </c>
      <c r="G66" s="123">
        <f>A66*0.037*1000000</f>
        <v>37000</v>
      </c>
      <c r="H66" s="123">
        <f>A66*0.000037*1000000</f>
        <v>37</v>
      </c>
      <c r="I66" s="123">
        <f>A66*0.037</f>
        <v>3.6999999999999998E-2</v>
      </c>
      <c r="J66" s="123">
        <f>A66*0.000037</f>
        <v>3.6999999999999998E-5</v>
      </c>
      <c r="K66" s="124">
        <f>A66*0.000000037</f>
        <v>3.7E-8</v>
      </c>
      <c r="L66" s="101"/>
      <c r="M66" s="101"/>
    </row>
    <row r="67" spans="1:13" x14ac:dyDescent="0.2">
      <c r="A67" s="172">
        <v>1</v>
      </c>
      <c r="B67" s="32" t="s">
        <v>3033</v>
      </c>
      <c r="C67" s="125">
        <f>A67*37*1000000000000000000</f>
        <v>3.7E+19</v>
      </c>
      <c r="D67" s="125">
        <f>A67*37*1000000000000000</f>
        <v>3.7E+16</v>
      </c>
      <c r="E67" s="125">
        <f>A67*37*1000000000000</f>
        <v>37000000000000</v>
      </c>
      <c r="F67" s="125">
        <f>A67*37*1000000000</f>
        <v>37000000000</v>
      </c>
      <c r="G67" s="125">
        <f>A67*37*1000000</f>
        <v>37000000</v>
      </c>
      <c r="H67" s="125">
        <f>A67*0.037*1000000</f>
        <v>37000</v>
      </c>
      <c r="I67" s="125">
        <f>A67*0.000037*1000000</f>
        <v>37</v>
      </c>
      <c r="J67" s="125">
        <f>A67*0.000000037*1000000</f>
        <v>3.6999999999999998E-2</v>
      </c>
      <c r="K67" s="126">
        <f>A67*0.000000037*1000</f>
        <v>3.6999999999999998E-5</v>
      </c>
      <c r="L67" s="101"/>
      <c r="M67" s="101"/>
    </row>
    <row r="68" spans="1:13" x14ac:dyDescent="0.2">
      <c r="A68" s="263">
        <v>2.0000000000000002E-5</v>
      </c>
      <c r="B68" s="33" t="s">
        <v>3034</v>
      </c>
      <c r="C68" s="123">
        <f>A68*37*1E+21</f>
        <v>7.4000000000000013E+17</v>
      </c>
      <c r="D68" s="123">
        <f>A68*37*1000000000000000000</f>
        <v>740000000000000.12</v>
      </c>
      <c r="E68" s="123">
        <f>A68*37*1000000000000000</f>
        <v>740000000000.00012</v>
      </c>
      <c r="F68" s="123">
        <f>A68*37*1000000000000</f>
        <v>740000000.00000012</v>
      </c>
      <c r="G68" s="123">
        <f>A68*37*1000000000</f>
        <v>740000.00000000012</v>
      </c>
      <c r="H68" s="123">
        <f>A68*37*1000000</f>
        <v>740.00000000000011</v>
      </c>
      <c r="I68" s="123">
        <f>A68*0.037*1000000</f>
        <v>0.74</v>
      </c>
      <c r="J68" s="123">
        <f>A68*37/1</f>
        <v>7.400000000000001E-4</v>
      </c>
      <c r="K68" s="124">
        <f>A68*37/1000</f>
        <v>7.4000000000000011E-7</v>
      </c>
      <c r="L68" s="101"/>
      <c r="M68" s="101"/>
    </row>
    <row r="69" spans="1:13" ht="13.5" thickBot="1" x14ac:dyDescent="0.25">
      <c r="A69" s="179">
        <v>1</v>
      </c>
      <c r="B69" s="35" t="s">
        <v>3035</v>
      </c>
      <c r="C69" s="130">
        <f>A69*37*1E+24</f>
        <v>3.6999999999999999E+25</v>
      </c>
      <c r="D69" s="130">
        <f>A69*37*1E+21</f>
        <v>3.6999999999999998E+22</v>
      </c>
      <c r="E69" s="130">
        <f>A69*37*1000000000000000000</f>
        <v>3.7E+19</v>
      </c>
      <c r="F69" s="130">
        <f>A69*37*1000000000000000</f>
        <v>3.7E+16</v>
      </c>
      <c r="G69" s="130">
        <f>A69*37*1000000000000</f>
        <v>37000000000000</v>
      </c>
      <c r="H69" s="130">
        <f>A69*37*1000000000</f>
        <v>37000000000</v>
      </c>
      <c r="I69" s="130">
        <f>A69*37*1000000</f>
        <v>37000000</v>
      </c>
      <c r="J69" s="130">
        <f>A69*0.037*1000000</f>
        <v>37000</v>
      </c>
      <c r="K69" s="116">
        <f>A69*0.037*1000</f>
        <v>37</v>
      </c>
      <c r="L69" s="101"/>
      <c r="M69" s="101"/>
    </row>
    <row r="70" spans="1:13" x14ac:dyDescent="0.2">
      <c r="A70" s="166"/>
      <c r="B70" s="19"/>
      <c r="C70" s="119"/>
      <c r="D70" s="119"/>
      <c r="E70" s="119"/>
      <c r="F70" s="101"/>
      <c r="G70" s="101"/>
      <c r="H70" s="101"/>
      <c r="I70" s="101"/>
      <c r="J70" s="101"/>
      <c r="K70" s="101"/>
      <c r="L70" s="101"/>
      <c r="M70" s="101"/>
    </row>
    <row r="71" spans="1:13" x14ac:dyDescent="0.2">
      <c r="A71" s="166"/>
      <c r="B71" s="19"/>
      <c r="C71" s="119"/>
      <c r="D71" s="119"/>
      <c r="E71" s="119"/>
      <c r="F71" s="101"/>
      <c r="G71" s="101"/>
      <c r="H71" s="101"/>
      <c r="I71" s="101"/>
      <c r="J71" s="101"/>
      <c r="K71" s="101"/>
      <c r="L71" s="101"/>
      <c r="M71" s="101"/>
    </row>
    <row r="72" spans="1:13" ht="13.5" thickBot="1" x14ac:dyDescent="0.25">
      <c r="A72" s="166"/>
      <c r="B72" s="19"/>
      <c r="C72" s="119"/>
      <c r="D72" s="119"/>
      <c r="E72" s="119"/>
      <c r="F72" s="101"/>
      <c r="G72" s="101"/>
      <c r="H72" s="101"/>
      <c r="I72" s="101"/>
      <c r="J72" s="101"/>
      <c r="K72" s="101"/>
      <c r="L72" s="101"/>
      <c r="M72" s="101"/>
    </row>
    <row r="73" spans="1:13" x14ac:dyDescent="0.2">
      <c r="A73" s="214" t="s">
        <v>3036</v>
      </c>
      <c r="B73" s="36"/>
      <c r="C73" s="131" t="s">
        <v>3037</v>
      </c>
      <c r="D73" s="132" t="s">
        <v>3038</v>
      </c>
      <c r="E73" s="132" t="s">
        <v>3039</v>
      </c>
      <c r="F73" s="132" t="s">
        <v>3040</v>
      </c>
      <c r="G73" s="132" t="s">
        <v>3041</v>
      </c>
      <c r="H73" s="132" t="s">
        <v>3042</v>
      </c>
      <c r="I73" s="132" t="s">
        <v>3043</v>
      </c>
      <c r="J73" s="133" t="s">
        <v>3044</v>
      </c>
      <c r="K73" s="101"/>
      <c r="L73" s="101"/>
      <c r="M73" s="101"/>
    </row>
    <row r="74" spans="1:13" x14ac:dyDescent="0.2">
      <c r="A74" s="180">
        <v>1.3</v>
      </c>
      <c r="B74" s="37" t="s">
        <v>3045</v>
      </c>
      <c r="C74" s="134">
        <f>A74*0.037*1000</f>
        <v>48.099999999999994</v>
      </c>
      <c r="D74" s="134">
        <f>A74*0.037</f>
        <v>4.8099999999999997E-2</v>
      </c>
      <c r="E74" s="134">
        <f>A74*0.037/1000</f>
        <v>4.8099999999999997E-5</v>
      </c>
      <c r="F74" s="134">
        <f>A74*0.037/1000000</f>
        <v>4.8099999999999994E-8</v>
      </c>
      <c r="G74" s="134">
        <f>A74*1000*0.037*1000</f>
        <v>48099.999999999993</v>
      </c>
      <c r="H74" s="134">
        <f>A74*0.037*1000</f>
        <v>48.099999999999994</v>
      </c>
      <c r="I74" s="134">
        <f>A74*0.037</f>
        <v>4.8099999999999997E-2</v>
      </c>
      <c r="J74" s="135">
        <f>A74*0.037/1000</f>
        <v>4.8099999999999997E-5</v>
      </c>
      <c r="K74" s="101"/>
      <c r="L74" s="101"/>
      <c r="M74" s="101"/>
    </row>
    <row r="75" spans="1:13" x14ac:dyDescent="0.2">
      <c r="A75" s="181">
        <v>1</v>
      </c>
      <c r="B75" s="38" t="s">
        <v>3046</v>
      </c>
      <c r="C75" s="136">
        <f>A75*1000*0.037*1000</f>
        <v>37000</v>
      </c>
      <c r="D75" s="136">
        <f>A75*0.037*1000</f>
        <v>37</v>
      </c>
      <c r="E75" s="136">
        <f>A75*0.037</f>
        <v>3.6999999999999998E-2</v>
      </c>
      <c r="F75" s="136">
        <f>A75*0.037/1000</f>
        <v>3.6999999999999998E-5</v>
      </c>
      <c r="G75" s="136">
        <f>A75*1000*0.037*1000000</f>
        <v>37000000</v>
      </c>
      <c r="H75" s="136">
        <f>A75*0.037*1000000</f>
        <v>37000</v>
      </c>
      <c r="I75" s="136">
        <f>A75*0.037*1000</f>
        <v>37</v>
      </c>
      <c r="J75" s="137">
        <f>A75*0.037</f>
        <v>3.6999999999999998E-2</v>
      </c>
      <c r="K75" s="101"/>
      <c r="L75" s="101"/>
      <c r="M75" s="101"/>
    </row>
    <row r="76" spans="1:13" s="8" customFormat="1" x14ac:dyDescent="0.2">
      <c r="A76" s="182">
        <v>74</v>
      </c>
      <c r="B76" s="39" t="s">
        <v>3047</v>
      </c>
      <c r="C76" s="138">
        <f>A76*1000*0.037*1000000</f>
        <v>2738000000</v>
      </c>
      <c r="D76" s="138">
        <f>A76*0.037*1000000</f>
        <v>2738000</v>
      </c>
      <c r="E76" s="138">
        <f>A76*0.037*1000</f>
        <v>2738</v>
      </c>
      <c r="F76" s="138">
        <f>A76*0.037</f>
        <v>2.738</v>
      </c>
      <c r="G76" s="138">
        <f>A76*1000*0.037*1000000000</f>
        <v>2738000000000</v>
      </c>
      <c r="H76" s="138">
        <f>A76*0.037*1000000000</f>
        <v>2738000000</v>
      </c>
      <c r="I76" s="138">
        <f>A76*0.037*1000000</f>
        <v>2738000</v>
      </c>
      <c r="J76" s="139">
        <f>A76*0.037*1000</f>
        <v>2738</v>
      </c>
      <c r="K76" s="104"/>
      <c r="L76" s="104"/>
      <c r="M76" s="104"/>
    </row>
    <row r="77" spans="1:13" s="8" customFormat="1" x14ac:dyDescent="0.2">
      <c r="A77" s="181">
        <v>1</v>
      </c>
      <c r="B77" s="38" t="s">
        <v>3048</v>
      </c>
      <c r="C77" s="136">
        <f>A77*1000*0.037*1000000000</f>
        <v>37000000000</v>
      </c>
      <c r="D77" s="136">
        <f>A77*0.037*1000000000</f>
        <v>37000000</v>
      </c>
      <c r="E77" s="136">
        <f>A77*0.037*1000000</f>
        <v>37000</v>
      </c>
      <c r="F77" s="136">
        <f>A77*0.037*1000</f>
        <v>37</v>
      </c>
      <c r="G77" s="136">
        <f>A77*1000*0.037*1000000000000</f>
        <v>37000000000000</v>
      </c>
      <c r="H77" s="136">
        <f>A77*0.037*1000000000000</f>
        <v>37000000000</v>
      </c>
      <c r="I77" s="136">
        <f>A77*0.037*1000000000</f>
        <v>37000000</v>
      </c>
      <c r="J77" s="137">
        <f>A77*0.037*1000000</f>
        <v>37000</v>
      </c>
      <c r="K77" s="104"/>
      <c r="L77" s="104"/>
      <c r="M77" s="104"/>
    </row>
    <row r="78" spans="1:13" x14ac:dyDescent="0.2">
      <c r="A78" s="166"/>
      <c r="B78" s="19"/>
      <c r="C78" s="119"/>
      <c r="D78" s="119"/>
      <c r="E78" s="119"/>
      <c r="F78" s="119"/>
      <c r="G78" s="101"/>
      <c r="H78" s="101"/>
      <c r="I78" s="101"/>
      <c r="J78" s="140"/>
      <c r="K78" s="101"/>
      <c r="L78" s="101"/>
      <c r="M78" s="101"/>
    </row>
    <row r="79" spans="1:13" x14ac:dyDescent="0.2">
      <c r="A79" s="183">
        <v>1</v>
      </c>
      <c r="B79" s="40" t="s">
        <v>3049</v>
      </c>
      <c r="C79" s="134">
        <f>A79*1000*0.037/1000</f>
        <v>3.6999999999999998E-2</v>
      </c>
      <c r="D79" s="134">
        <f>A79*0.037/1000</f>
        <v>3.6999999999999998E-5</v>
      </c>
      <c r="E79" s="134">
        <f>A79*0.037/1000000</f>
        <v>3.7E-8</v>
      </c>
      <c r="F79" s="134">
        <f>A79*0.037/1000000000</f>
        <v>3.6999999999999995E-11</v>
      </c>
      <c r="G79" s="134">
        <f>A79*1000*0.037</f>
        <v>37</v>
      </c>
      <c r="H79" s="134">
        <f>A79*0.037</f>
        <v>3.6999999999999998E-2</v>
      </c>
      <c r="I79" s="134">
        <f>A79*0.037/1000</f>
        <v>3.6999999999999998E-5</v>
      </c>
      <c r="J79" s="135">
        <f>A79*0.037/1000000</f>
        <v>3.7E-8</v>
      </c>
      <c r="K79" s="101"/>
      <c r="L79" s="101"/>
      <c r="M79" s="101"/>
    </row>
    <row r="80" spans="1:13" x14ac:dyDescent="0.2">
      <c r="A80" s="181">
        <v>1</v>
      </c>
      <c r="B80" s="41" t="s">
        <v>3050</v>
      </c>
      <c r="C80" s="136">
        <f>A80*1000*0.037/1</f>
        <v>37</v>
      </c>
      <c r="D80" s="136">
        <f>A80*0.037/1</f>
        <v>3.6999999999999998E-2</v>
      </c>
      <c r="E80" s="136">
        <f>A80*0.037/1000</f>
        <v>3.6999999999999998E-5</v>
      </c>
      <c r="F80" s="136">
        <f>A80*0.037/1000000</f>
        <v>3.7E-8</v>
      </c>
      <c r="G80" s="136">
        <f>A80*1000*0.037*1000</f>
        <v>37000</v>
      </c>
      <c r="H80" s="136">
        <f>A80*0.037*1000</f>
        <v>37</v>
      </c>
      <c r="I80" s="136">
        <f>A80*0.037</f>
        <v>3.6999999999999998E-2</v>
      </c>
      <c r="J80" s="137">
        <f>A80*0.037/1000</f>
        <v>3.6999999999999998E-5</v>
      </c>
      <c r="K80" s="101"/>
      <c r="L80" s="101"/>
      <c r="M80" s="101"/>
    </row>
    <row r="81" spans="1:13" x14ac:dyDescent="0.2">
      <c r="A81" s="180">
        <v>1</v>
      </c>
      <c r="B81" s="40" t="s">
        <v>3051</v>
      </c>
      <c r="C81" s="134">
        <f>A81*1000*0.037*1000</f>
        <v>37000</v>
      </c>
      <c r="D81" s="134">
        <f>A81*0.037*1000</f>
        <v>37</v>
      </c>
      <c r="E81" s="134">
        <f>A81*0.037</f>
        <v>3.6999999999999998E-2</v>
      </c>
      <c r="F81" s="134">
        <f>A81*0.037/1000</f>
        <v>3.6999999999999998E-5</v>
      </c>
      <c r="G81" s="134">
        <f>A81*1000*0.037*1000000</f>
        <v>37000000</v>
      </c>
      <c r="H81" s="134">
        <f>A81*0.037*1000000</f>
        <v>37000</v>
      </c>
      <c r="I81" s="134">
        <f>A81*0.037*1000</f>
        <v>37</v>
      </c>
      <c r="J81" s="135">
        <f>A81*0.037</f>
        <v>3.6999999999999998E-2</v>
      </c>
      <c r="K81" s="101"/>
      <c r="L81" s="101"/>
      <c r="M81" s="101"/>
    </row>
    <row r="82" spans="1:13" x14ac:dyDescent="0.2">
      <c r="A82" s="181">
        <v>1</v>
      </c>
      <c r="B82" s="41" t="s">
        <v>3052</v>
      </c>
      <c r="C82" s="136">
        <f>A82*1000*0.037*1000000</f>
        <v>37000000</v>
      </c>
      <c r="D82" s="136">
        <f>A82*0.037*1000000</f>
        <v>37000</v>
      </c>
      <c r="E82" s="136">
        <f>A82*0.037*1000</f>
        <v>37</v>
      </c>
      <c r="F82" s="136">
        <f>A82*0.037</f>
        <v>3.6999999999999998E-2</v>
      </c>
      <c r="G82" s="136">
        <f>A82*1000*0.037*1000000000</f>
        <v>37000000000</v>
      </c>
      <c r="H82" s="136">
        <f>A82*0.037*1000000000</f>
        <v>37000000</v>
      </c>
      <c r="I82" s="136">
        <f>A82*0.037*1000000</f>
        <v>37000</v>
      </c>
      <c r="J82" s="137">
        <f>A82*0.037*1000</f>
        <v>37</v>
      </c>
      <c r="K82" s="101"/>
      <c r="L82" s="101"/>
      <c r="M82" s="101"/>
    </row>
    <row r="83" spans="1:13" ht="13.5" thickBot="1" x14ac:dyDescent="0.25">
      <c r="A83" s="184">
        <v>1</v>
      </c>
      <c r="B83" s="42" t="s">
        <v>3053</v>
      </c>
      <c r="C83" s="141">
        <f>A83*1000*0.037*1000000000</f>
        <v>37000000000</v>
      </c>
      <c r="D83" s="141">
        <f>A83*0.037*1000000000</f>
        <v>37000000</v>
      </c>
      <c r="E83" s="141">
        <f>A83*0.037*1000000</f>
        <v>37000</v>
      </c>
      <c r="F83" s="141">
        <f>A83*0.037*1000</f>
        <v>37</v>
      </c>
      <c r="G83" s="141">
        <f>A83*1000*0.037*1000000000000</f>
        <v>37000000000000</v>
      </c>
      <c r="H83" s="141">
        <f>A83*0.037*1000000000000</f>
        <v>37000000000</v>
      </c>
      <c r="I83" s="141">
        <f>A83*0.037*1000000000</f>
        <v>37000000</v>
      </c>
      <c r="J83" s="106">
        <f>A83*0.037*1000000</f>
        <v>37000</v>
      </c>
      <c r="K83" s="101"/>
      <c r="L83" s="101"/>
      <c r="M83" s="101"/>
    </row>
    <row r="84" spans="1:13" x14ac:dyDescent="0.2">
      <c r="A84" s="166"/>
      <c r="B84" s="19"/>
      <c r="C84" s="108"/>
      <c r="D84" s="108"/>
      <c r="E84" s="108"/>
      <c r="F84" s="108"/>
      <c r="G84" s="108"/>
      <c r="H84" s="108"/>
      <c r="I84" s="108"/>
      <c r="J84" s="108"/>
      <c r="K84" s="101"/>
      <c r="L84" s="101"/>
      <c r="M84" s="101"/>
    </row>
    <row r="85" spans="1:13" x14ac:dyDescent="0.2">
      <c r="A85" s="166"/>
      <c r="B85" s="19"/>
      <c r="C85" s="108"/>
      <c r="D85" s="108"/>
      <c r="E85" s="108"/>
      <c r="F85" s="108"/>
      <c r="G85" s="108"/>
      <c r="H85" s="108"/>
      <c r="I85" s="108"/>
      <c r="J85" s="108"/>
      <c r="K85" s="101"/>
      <c r="L85" s="101"/>
      <c r="M85" s="101"/>
    </row>
    <row r="86" spans="1:13" ht="13.5" thickBot="1" x14ac:dyDescent="0.25">
      <c r="A86" s="174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</row>
    <row r="87" spans="1:13" x14ac:dyDescent="0.2">
      <c r="A87" s="214" t="s">
        <v>3036</v>
      </c>
      <c r="B87" s="43"/>
      <c r="C87" s="142" t="s">
        <v>3054</v>
      </c>
      <c r="D87" s="142" t="s">
        <v>3055</v>
      </c>
      <c r="E87" s="142" t="s">
        <v>3056</v>
      </c>
      <c r="F87" s="142" t="s">
        <v>3057</v>
      </c>
      <c r="G87" s="142" t="s">
        <v>3058</v>
      </c>
      <c r="H87" s="142" t="s">
        <v>3059</v>
      </c>
      <c r="I87" s="143" t="s">
        <v>3060</v>
      </c>
      <c r="J87" s="101"/>
      <c r="K87" s="101"/>
      <c r="L87" s="101"/>
      <c r="M87" s="101"/>
    </row>
    <row r="88" spans="1:13" x14ac:dyDescent="0.2">
      <c r="A88" s="183">
        <v>1</v>
      </c>
      <c r="B88" s="44" t="s">
        <v>3061</v>
      </c>
      <c r="C88" s="138">
        <f>A88*40.7855*1000000</f>
        <v>40785500</v>
      </c>
      <c r="D88" s="138">
        <f>A88*40.7855*1000</f>
        <v>40785.5</v>
      </c>
      <c r="E88" s="138">
        <f>A88*40.7855</f>
        <v>40.785499999999999</v>
      </c>
      <c r="F88" s="138">
        <f>A88*40.7855/1000</f>
        <v>4.0785500000000002E-2</v>
      </c>
      <c r="G88" s="138">
        <f>A88*40.7855/1000000</f>
        <v>4.0785499999999998E-5</v>
      </c>
      <c r="H88" s="138">
        <f>A88*40.7855/1000000000</f>
        <v>4.0785499999999998E-8</v>
      </c>
      <c r="I88" s="139">
        <f>A88*40.7855/1000000000000</f>
        <v>4.0785499999999996E-11</v>
      </c>
      <c r="J88" s="101"/>
      <c r="K88" s="101"/>
      <c r="L88" s="101"/>
      <c r="M88" s="101"/>
    </row>
    <row r="89" spans="1:13" s="8" customFormat="1" x14ac:dyDescent="0.2">
      <c r="A89" s="185">
        <v>1</v>
      </c>
      <c r="B89" s="32" t="s">
        <v>3062</v>
      </c>
      <c r="C89" s="136">
        <f>A89*40.7855*1000000000</f>
        <v>40785500000</v>
      </c>
      <c r="D89" s="136">
        <f>A89*40.7855*1000000</f>
        <v>40785500</v>
      </c>
      <c r="E89" s="136">
        <f>A89*40.7855*1000</f>
        <v>40785.5</v>
      </c>
      <c r="F89" s="136">
        <f>A89*40.7855/1</f>
        <v>40.785499999999999</v>
      </c>
      <c r="G89" s="136">
        <f>A89*40.7855/1000</f>
        <v>4.0785500000000002E-2</v>
      </c>
      <c r="H89" s="136">
        <f>A89*40.7855/1000000</f>
        <v>4.0785499999999998E-5</v>
      </c>
      <c r="I89" s="137">
        <f>A89*40.7855/1000000000</f>
        <v>4.0785499999999998E-8</v>
      </c>
      <c r="J89" s="101"/>
      <c r="K89" s="104"/>
      <c r="L89" s="104"/>
      <c r="M89" s="104"/>
    </row>
    <row r="90" spans="1:13" s="8" customFormat="1" x14ac:dyDescent="0.2">
      <c r="A90" s="186">
        <v>1</v>
      </c>
      <c r="B90" s="44" t="s">
        <v>3063</v>
      </c>
      <c r="C90" s="138">
        <f>A90*40.7855*1000000000000</f>
        <v>40785500000000</v>
      </c>
      <c r="D90" s="138">
        <f>A90*40.7855*1000000000</f>
        <v>40785500000</v>
      </c>
      <c r="E90" s="138">
        <f>A90*40.7855*1000000</f>
        <v>40785500</v>
      </c>
      <c r="F90" s="138">
        <f>A90*40.7855*1000</f>
        <v>40785.5</v>
      </c>
      <c r="G90" s="138">
        <f>A90*40.7855/1</f>
        <v>40.785499999999999</v>
      </c>
      <c r="H90" s="138">
        <f>A90*40.7855/1000</f>
        <v>4.0785500000000002E-2</v>
      </c>
      <c r="I90" s="139">
        <f>A90*40.7855/1000000</f>
        <v>4.0785499999999998E-5</v>
      </c>
      <c r="J90" s="101"/>
      <c r="K90" s="104"/>
      <c r="L90" s="104"/>
      <c r="M90" s="104"/>
    </row>
    <row r="91" spans="1:13" s="8" customFormat="1" x14ac:dyDescent="0.2">
      <c r="A91" s="185">
        <v>1</v>
      </c>
      <c r="B91" s="32" t="s">
        <v>3064</v>
      </c>
      <c r="C91" s="136">
        <f>A91*40.7855*1000000000000000</f>
        <v>4.07855E+16</v>
      </c>
      <c r="D91" s="136">
        <f>A91*40.7855*1000000000000</f>
        <v>40785500000000</v>
      </c>
      <c r="E91" s="136">
        <f>A91*40.7855*1000000000</f>
        <v>40785500000</v>
      </c>
      <c r="F91" s="136">
        <f>A91*40.7855*1000000</f>
        <v>40785500</v>
      </c>
      <c r="G91" s="136">
        <f>A91*40.7855*1000</f>
        <v>40785.5</v>
      </c>
      <c r="H91" s="136">
        <f>A91*40.7855</f>
        <v>40.785499999999999</v>
      </c>
      <c r="I91" s="137">
        <f>A91*40.7855/1000</f>
        <v>4.0785500000000002E-2</v>
      </c>
      <c r="J91" s="101"/>
      <c r="K91" s="104"/>
      <c r="L91" s="104"/>
      <c r="M91" s="104"/>
    </row>
    <row r="92" spans="1:13" s="8" customFormat="1" ht="13.5" thickBot="1" x14ac:dyDescent="0.25">
      <c r="A92" s="187">
        <v>1</v>
      </c>
      <c r="B92" s="45" t="s">
        <v>3065</v>
      </c>
      <c r="C92" s="144">
        <f>A92*40.7855*1000000000000000000</f>
        <v>4.07855E+19</v>
      </c>
      <c r="D92" s="144">
        <f>A92*40.7855*1000000000000000</f>
        <v>4.07855E+16</v>
      </c>
      <c r="E92" s="144">
        <f>A92*40.7855*1000000000000</f>
        <v>40785500000000</v>
      </c>
      <c r="F92" s="144">
        <f>A92*40.7855*1000000000</f>
        <v>40785500000</v>
      </c>
      <c r="G92" s="144">
        <f>A92*40.7855*1000000</f>
        <v>40785500</v>
      </c>
      <c r="H92" s="144">
        <f>A92*40.7855*1000</f>
        <v>40785.5</v>
      </c>
      <c r="I92" s="145">
        <f>A92*40.7855*1</f>
        <v>40.785499999999999</v>
      </c>
      <c r="J92" s="101"/>
      <c r="K92" s="104"/>
      <c r="L92" s="104"/>
      <c r="M92" s="104"/>
    </row>
    <row r="93" spans="1:13" x14ac:dyDescent="0.2">
      <c r="A93" s="174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</row>
    <row r="94" spans="1:13" x14ac:dyDescent="0.2">
      <c r="A94" s="175"/>
      <c r="B94" s="2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</row>
    <row r="95" spans="1:13" ht="13.5" thickBot="1" x14ac:dyDescent="0.25">
      <c r="A95" s="175"/>
      <c r="B95" s="2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</row>
    <row r="96" spans="1:13" x14ac:dyDescent="0.2">
      <c r="A96" s="215" t="s">
        <v>3066</v>
      </c>
      <c r="B96" s="46"/>
      <c r="C96" s="146" t="s">
        <v>3067</v>
      </c>
      <c r="D96" s="146" t="s">
        <v>3068</v>
      </c>
      <c r="E96" s="146" t="s">
        <v>3069</v>
      </c>
      <c r="F96" s="146" t="s">
        <v>3070</v>
      </c>
      <c r="G96" s="146" t="s">
        <v>3071</v>
      </c>
      <c r="H96" s="146" t="s">
        <v>3072</v>
      </c>
      <c r="I96" s="110" t="s">
        <v>3073</v>
      </c>
      <c r="J96" s="101"/>
      <c r="K96" s="101"/>
      <c r="L96" s="101"/>
      <c r="M96" s="101"/>
    </row>
    <row r="97" spans="1:13" x14ac:dyDescent="0.2">
      <c r="A97" s="188">
        <v>1</v>
      </c>
      <c r="B97" s="47" t="s">
        <v>3074</v>
      </c>
      <c r="C97" s="147">
        <f>A97*3700000</f>
        <v>3700000</v>
      </c>
      <c r="D97" s="147">
        <f>A97*3700</f>
        <v>3700</v>
      </c>
      <c r="E97" s="147">
        <f>A97*3.7</f>
        <v>3.7</v>
      </c>
      <c r="F97" s="147">
        <f>A97*370000000</f>
        <v>370000000</v>
      </c>
      <c r="G97" s="147">
        <f>A97*370</f>
        <v>370</v>
      </c>
      <c r="H97" s="147">
        <f>A97*0.37</f>
        <v>0.37</v>
      </c>
      <c r="I97" s="112">
        <f>A97*0.00037</f>
        <v>3.6999999999999999E-4</v>
      </c>
      <c r="J97" s="101"/>
      <c r="K97" s="101"/>
      <c r="L97" s="101"/>
      <c r="M97" s="101"/>
    </row>
    <row r="98" spans="1:13" x14ac:dyDescent="0.2">
      <c r="A98" s="189">
        <v>1</v>
      </c>
      <c r="B98" s="48" t="s">
        <v>3075</v>
      </c>
      <c r="C98" s="148">
        <f>A98*3700</f>
        <v>3700</v>
      </c>
      <c r="D98" s="148">
        <f>A98*3.7</f>
        <v>3.7</v>
      </c>
      <c r="E98" s="148">
        <f>A98*0.0037</f>
        <v>3.7000000000000002E-3</v>
      </c>
      <c r="F98" s="148">
        <f>A98*370000</f>
        <v>370000</v>
      </c>
      <c r="G98" s="148">
        <f>A98*0.37</f>
        <v>0.37</v>
      </c>
      <c r="H98" s="148">
        <f>A98*0.00037</f>
        <v>3.6999999999999999E-4</v>
      </c>
      <c r="I98" s="114">
        <f>A98*0.00000037</f>
        <v>3.7E-7</v>
      </c>
      <c r="J98" s="101"/>
      <c r="K98" s="101"/>
      <c r="L98" s="101"/>
      <c r="M98" s="101"/>
    </row>
    <row r="99" spans="1:13" ht="13.5" thickBot="1" x14ac:dyDescent="0.25">
      <c r="A99" s="190">
        <v>1</v>
      </c>
      <c r="B99" s="49" t="s">
        <v>3076</v>
      </c>
      <c r="C99" s="149">
        <f>A99*3.7</f>
        <v>3.7</v>
      </c>
      <c r="D99" s="149">
        <f>A99*0.0037</f>
        <v>3.7000000000000002E-3</v>
      </c>
      <c r="E99" s="149">
        <f>A99*0.0000037</f>
        <v>3.7000000000000002E-6</v>
      </c>
      <c r="F99" s="149">
        <f>A99*370</f>
        <v>370</v>
      </c>
      <c r="G99" s="149">
        <f>A99*0.00037</f>
        <v>3.6999999999999999E-4</v>
      </c>
      <c r="H99" s="149">
        <f>A99*0.00000037</f>
        <v>3.7E-7</v>
      </c>
      <c r="I99" s="118">
        <f>A99*0.00000000037</f>
        <v>3.7000000000000001E-10</v>
      </c>
      <c r="J99" s="101"/>
      <c r="K99" s="101"/>
      <c r="L99" s="101"/>
      <c r="M99" s="101"/>
    </row>
    <row r="100" spans="1:13" x14ac:dyDescent="0.2">
      <c r="A100" s="175"/>
      <c r="B100" s="20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</row>
    <row r="101" spans="1:13" x14ac:dyDescent="0.2">
      <c r="A101" s="175"/>
      <c r="B101" s="2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 ht="13.5" thickBot="1" x14ac:dyDescent="0.25">
      <c r="A102" s="175"/>
      <c r="B102" s="20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</row>
    <row r="103" spans="1:13" x14ac:dyDescent="0.2">
      <c r="A103" s="215" t="s">
        <v>3077</v>
      </c>
      <c r="B103" s="46"/>
      <c r="C103" s="146" t="s">
        <v>3067</v>
      </c>
      <c r="D103" s="146" t="s">
        <v>3068</v>
      </c>
      <c r="E103" s="146" t="s">
        <v>3069</v>
      </c>
      <c r="F103" s="146" t="s">
        <v>3078</v>
      </c>
      <c r="G103" s="146" t="s">
        <v>3079</v>
      </c>
      <c r="H103" s="146" t="s">
        <v>3080</v>
      </c>
      <c r="I103" s="146" t="s">
        <v>3081</v>
      </c>
      <c r="J103" s="146" t="s">
        <v>3082</v>
      </c>
      <c r="K103" s="146" t="s">
        <v>3083</v>
      </c>
      <c r="L103" s="110" t="s">
        <v>3084</v>
      </c>
      <c r="M103" s="101"/>
    </row>
    <row r="104" spans="1:13" x14ac:dyDescent="0.2">
      <c r="A104" s="191">
        <v>1</v>
      </c>
      <c r="B104" s="47" t="s">
        <v>3085</v>
      </c>
      <c r="C104" s="147">
        <f>A104*0.01428578</f>
        <v>1.428578E-2</v>
      </c>
      <c r="D104" s="147">
        <f>A104*0.00001428578</f>
        <v>1.428578E-5</v>
      </c>
      <c r="E104" s="147">
        <f>A104*0.00000001428578</f>
        <v>1.4285780000000001E-8</v>
      </c>
      <c r="F104" s="147">
        <f>A104*14285.78</f>
        <v>14285.78</v>
      </c>
      <c r="G104" s="147">
        <f>A104*14.28578</f>
        <v>14.285780000000001</v>
      </c>
      <c r="H104" s="147">
        <f>A104*0.01428578</f>
        <v>1.428578E-2</v>
      </c>
      <c r="I104" s="147">
        <f>A104*0.00001428578</f>
        <v>1.428578E-5</v>
      </c>
      <c r="J104" s="147">
        <f>A104*0.00000001428578</f>
        <v>1.4285780000000001E-8</v>
      </c>
      <c r="K104" s="147">
        <f>A104*0.00000000001428578</f>
        <v>1.428578E-11</v>
      </c>
      <c r="L104" s="112">
        <f>A104*1.428578E-14</f>
        <v>1.4285780000000001E-14</v>
      </c>
      <c r="M104" s="101"/>
    </row>
    <row r="105" spans="1:13" x14ac:dyDescent="0.2">
      <c r="A105" s="192">
        <v>1</v>
      </c>
      <c r="B105" s="48" t="s">
        <v>3086</v>
      </c>
      <c r="C105" s="148">
        <f>A105*0.01428578*1000000</f>
        <v>14285.779999999999</v>
      </c>
      <c r="D105" s="148">
        <f>A105*0.00001428578*1000000</f>
        <v>14.285780000000001</v>
      </c>
      <c r="E105" s="148">
        <f>A105*0.00000001428578*1000000</f>
        <v>1.4285780000000001E-2</v>
      </c>
      <c r="F105" s="148">
        <f>A105*14285.78*1000000</f>
        <v>14285780000</v>
      </c>
      <c r="G105" s="148">
        <f>A105*14.28578*1000000</f>
        <v>14285780</v>
      </c>
      <c r="H105" s="148">
        <f>A105*0.01428578*1000000</f>
        <v>14285.779999999999</v>
      </c>
      <c r="I105" s="148">
        <f>A105*0.00001428578*1000000</f>
        <v>14.285780000000001</v>
      </c>
      <c r="J105" s="148">
        <f>A105*0.00000001428578*1000000</f>
        <v>1.4285780000000001E-2</v>
      </c>
      <c r="K105" s="148">
        <f>A105*0.00000000001428578*1000000</f>
        <v>1.428578E-5</v>
      </c>
      <c r="L105" s="114">
        <f>A105*1.428578E-14*1000000</f>
        <v>1.4285780000000001E-8</v>
      </c>
      <c r="M105" s="101"/>
    </row>
    <row r="106" spans="1:13" x14ac:dyDescent="0.2">
      <c r="A106" s="191">
        <v>1</v>
      </c>
      <c r="B106" s="47" t="s">
        <v>3087</v>
      </c>
      <c r="C106" s="147">
        <f>A106*0.01428578*1000000000</f>
        <v>14285780</v>
      </c>
      <c r="D106" s="147">
        <f>A106*0.00001428578*1000000000</f>
        <v>14285.78</v>
      </c>
      <c r="E106" s="147">
        <f>A106*0.00000001428578*1000000000</f>
        <v>14.285780000000001</v>
      </c>
      <c r="F106" s="147">
        <f>A106*14285.78*1000000000</f>
        <v>14285780000000</v>
      </c>
      <c r="G106" s="147">
        <f>A106*14.28578*1000000000</f>
        <v>14285780000</v>
      </c>
      <c r="H106" s="147">
        <f>A106*0.01428578*1000000000</f>
        <v>14285780</v>
      </c>
      <c r="I106" s="147">
        <f>A106*0.00001428578*1000000000</f>
        <v>14285.78</v>
      </c>
      <c r="J106" s="147">
        <f>A106*0.00000001428578*1000000000</f>
        <v>14.285780000000001</v>
      </c>
      <c r="K106" s="147">
        <f>A106*0.00000000001428578*1000000000</f>
        <v>1.428578E-2</v>
      </c>
      <c r="L106" s="112">
        <f>A106*1.428578E-14*1000000000</f>
        <v>1.428578E-5</v>
      </c>
      <c r="M106" s="101"/>
    </row>
    <row r="107" spans="1:13" ht="13.5" thickBot="1" x14ac:dyDescent="0.25">
      <c r="A107" s="193">
        <v>1</v>
      </c>
      <c r="B107" s="35" t="s">
        <v>3088</v>
      </c>
      <c r="C107" s="130">
        <f>A107*0.01428578*1000000000000</f>
        <v>14285780000</v>
      </c>
      <c r="D107" s="130">
        <f>A107*0.00001428578*1000000000000</f>
        <v>14285780</v>
      </c>
      <c r="E107" s="130">
        <f>A107*0.00000001428578*1000000000000</f>
        <v>14285.78</v>
      </c>
      <c r="F107" s="130">
        <f>A107*14285.78*1000000000000</f>
        <v>1.428578E+16</v>
      </c>
      <c r="G107" s="130">
        <f>A107*14.28578*1000000000000</f>
        <v>14285780000000</v>
      </c>
      <c r="H107" s="130">
        <f>A107*0.01428578*1000000000000</f>
        <v>14285780000</v>
      </c>
      <c r="I107" s="130">
        <f>A107*0.00001428578*1000000000000</f>
        <v>14285780</v>
      </c>
      <c r="J107" s="130">
        <f>A107*0.00000001428578*1000000000000</f>
        <v>14285.78</v>
      </c>
      <c r="K107" s="130">
        <f>A107*0.00000000001428578*1000000000000</f>
        <v>14.285780000000001</v>
      </c>
      <c r="L107" s="116">
        <f>A107*1.428578E-14*1000000000000</f>
        <v>1.4285780000000001E-2</v>
      </c>
      <c r="M107" s="101"/>
    </row>
    <row r="108" spans="1:13" x14ac:dyDescent="0.2">
      <c r="A108" s="194"/>
      <c r="B108" s="2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</row>
    <row r="109" spans="1:13" x14ac:dyDescent="0.2">
      <c r="A109" s="194"/>
      <c r="B109" s="2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</row>
    <row r="110" spans="1:13" ht="13.5" thickBot="1" x14ac:dyDescent="0.25">
      <c r="A110" s="194"/>
      <c r="B110" s="16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</row>
    <row r="111" spans="1:13" x14ac:dyDescent="0.2">
      <c r="A111" s="213" t="s">
        <v>3089</v>
      </c>
      <c r="B111" s="26"/>
      <c r="C111" s="109" t="s">
        <v>299</v>
      </c>
      <c r="D111" s="109" t="s">
        <v>3090</v>
      </c>
      <c r="E111" s="109" t="s">
        <v>294</v>
      </c>
      <c r="F111" s="109" t="s">
        <v>3091</v>
      </c>
      <c r="G111" s="109" t="s">
        <v>3092</v>
      </c>
      <c r="H111" s="109" t="s">
        <v>3093</v>
      </c>
      <c r="I111" s="110" t="s">
        <v>3094</v>
      </c>
      <c r="J111" s="101"/>
      <c r="K111" s="101"/>
      <c r="L111" s="101"/>
      <c r="M111" s="101"/>
    </row>
    <row r="112" spans="1:13" x14ac:dyDescent="0.2">
      <c r="A112" s="195">
        <v>1</v>
      </c>
      <c r="B112" s="50" t="s">
        <v>3095</v>
      </c>
      <c r="C112" s="111">
        <f>A112*28.349523*1000</f>
        <v>28349.523000000001</v>
      </c>
      <c r="D112" s="111">
        <f>A112*28.349523</f>
        <v>28.349523000000001</v>
      </c>
      <c r="E112" s="111">
        <f>A112*28.349523/1000</f>
        <v>2.8349523000000001E-2</v>
      </c>
      <c r="F112" s="111">
        <f>A112*28.349523/1000000</f>
        <v>2.8349523E-5</v>
      </c>
      <c r="G112" s="111">
        <f>A112*28.349523/1000000000</f>
        <v>2.8349523000000003E-8</v>
      </c>
      <c r="H112" s="111">
        <f>A112*28.349523/1000000000000</f>
        <v>2.8349523E-11</v>
      </c>
      <c r="I112" s="112">
        <f>A112*28.349523/1000000000000000</f>
        <v>2.8349523000000001E-14</v>
      </c>
      <c r="J112" s="101"/>
      <c r="K112" s="101"/>
      <c r="L112" s="101"/>
      <c r="M112" s="101"/>
    </row>
    <row r="113" spans="1:13" x14ac:dyDescent="0.2">
      <c r="A113" s="169">
        <v>1</v>
      </c>
      <c r="B113" s="51" t="s">
        <v>3096</v>
      </c>
      <c r="C113" s="113">
        <f>A113*453.59237*1000</f>
        <v>453592.37</v>
      </c>
      <c r="D113" s="113">
        <f>A113*453.59237</f>
        <v>453.59237000000002</v>
      </c>
      <c r="E113" s="113">
        <f>A113*453.59237/1000</f>
        <v>0.45359237000000002</v>
      </c>
      <c r="F113" s="113">
        <f>A113*453.59237/1000000</f>
        <v>4.5359237000000004E-4</v>
      </c>
      <c r="G113" s="113">
        <f>A113*453.59237/1000000000</f>
        <v>4.5359237E-7</v>
      </c>
      <c r="H113" s="113">
        <f>A113*453.59237/1000000000000</f>
        <v>4.5359236999999999E-10</v>
      </c>
      <c r="I113" s="114">
        <f>A113*453.59237/1000000000000000</f>
        <v>4.5359237E-13</v>
      </c>
      <c r="J113" s="101"/>
      <c r="K113" s="101"/>
      <c r="L113" s="101"/>
      <c r="M113" s="101"/>
    </row>
    <row r="114" spans="1:13" x14ac:dyDescent="0.2">
      <c r="A114" s="195">
        <v>1</v>
      </c>
      <c r="B114" s="50" t="s">
        <v>3097</v>
      </c>
      <c r="C114" s="111">
        <f>A114*1000000000</f>
        <v>1000000000</v>
      </c>
      <c r="D114" s="111">
        <f>A114*1000000</f>
        <v>1000000</v>
      </c>
      <c r="E114" s="111">
        <f>A114*1000</f>
        <v>1000</v>
      </c>
      <c r="F114" s="111">
        <f>A114*1</f>
        <v>1</v>
      </c>
      <c r="G114" s="111">
        <f>A114/1000</f>
        <v>1E-3</v>
      </c>
      <c r="H114" s="111">
        <f>A114 /1000000</f>
        <v>9.9999999999999995E-7</v>
      </c>
      <c r="I114" s="112">
        <f>A114/1000000000</f>
        <v>1.0000000000000001E-9</v>
      </c>
      <c r="J114" s="101"/>
      <c r="K114" s="101"/>
      <c r="L114" s="101"/>
      <c r="M114" s="101"/>
    </row>
    <row r="115" spans="1:13" ht="13.5" thickBot="1" x14ac:dyDescent="0.25">
      <c r="A115" s="196">
        <v>1</v>
      </c>
      <c r="B115" s="52" t="s">
        <v>3098</v>
      </c>
      <c r="C115" s="115">
        <f>A115*907.18474*1000000</f>
        <v>907184740</v>
      </c>
      <c r="D115" s="115">
        <f>A115*907.18474*1000</f>
        <v>907184.74</v>
      </c>
      <c r="E115" s="115">
        <f>A115*907.18474</f>
        <v>907.18474000000003</v>
      </c>
      <c r="F115" s="115">
        <f>A115*907.18474/1000</f>
        <v>0.90718474000000004</v>
      </c>
      <c r="G115" s="115">
        <f>A115*907.18474/1000000</f>
        <v>9.0718474000000009E-4</v>
      </c>
      <c r="H115" s="115">
        <f>A115*907.18474/1000000000</f>
        <v>9.0718473999999999E-7</v>
      </c>
      <c r="I115" s="116">
        <f>A115*907.18474/1000000000000</f>
        <v>9.0718473999999999E-10</v>
      </c>
      <c r="J115" s="101"/>
      <c r="K115" s="101"/>
      <c r="L115" s="101"/>
      <c r="M115" s="101"/>
    </row>
    <row r="116" spans="1:13" x14ac:dyDescent="0.2">
      <c r="A116" s="197"/>
      <c r="B116" s="53"/>
      <c r="C116" s="119"/>
      <c r="D116" s="119"/>
      <c r="E116" s="119"/>
      <c r="F116" s="119"/>
      <c r="G116" s="119"/>
      <c r="H116" s="119"/>
      <c r="I116" s="101"/>
      <c r="J116" s="101"/>
      <c r="K116" s="101"/>
      <c r="L116" s="101"/>
      <c r="M116" s="101"/>
    </row>
    <row r="117" spans="1:13" x14ac:dyDescent="0.2">
      <c r="A117" s="175"/>
      <c r="B117" s="16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 ht="13.5" thickBot="1" x14ac:dyDescent="0.25">
      <c r="A118" s="175"/>
      <c r="B118" s="16"/>
      <c r="C118" s="150"/>
      <c r="D118" s="150"/>
      <c r="E118" s="150"/>
      <c r="F118" s="150"/>
      <c r="G118" s="150"/>
      <c r="H118" s="101"/>
      <c r="I118" s="101"/>
      <c r="J118" s="101"/>
      <c r="K118" s="101"/>
      <c r="L118" s="101"/>
      <c r="M118" s="101"/>
    </row>
    <row r="119" spans="1:13" x14ac:dyDescent="0.2">
      <c r="A119" s="215" t="s">
        <v>3099</v>
      </c>
      <c r="B119" s="54" t="s">
        <v>171</v>
      </c>
      <c r="C119" s="109" t="s">
        <v>3100</v>
      </c>
      <c r="D119" s="109" t="s">
        <v>3101</v>
      </c>
      <c r="E119" s="109" t="s">
        <v>3102</v>
      </c>
      <c r="F119" s="109" t="s">
        <v>3103</v>
      </c>
      <c r="G119" s="109" t="s">
        <v>3104</v>
      </c>
      <c r="H119" s="109" t="s">
        <v>3105</v>
      </c>
      <c r="I119" s="109" t="s">
        <v>3106</v>
      </c>
      <c r="J119" s="110" t="s">
        <v>3107</v>
      </c>
      <c r="K119" s="101"/>
      <c r="L119" s="101"/>
      <c r="M119" s="101"/>
    </row>
    <row r="120" spans="1:13" x14ac:dyDescent="0.2">
      <c r="A120" s="188">
        <v>1</v>
      </c>
      <c r="B120" s="55" t="s">
        <v>3108</v>
      </c>
      <c r="C120" s="111">
        <f>A120*471.9474</f>
        <v>471.94740000000002</v>
      </c>
      <c r="D120" s="111">
        <f>A120*471.9474*60</f>
        <v>28316.844000000001</v>
      </c>
      <c r="E120" s="111">
        <f>A120*0.0004719474</f>
        <v>4.7194739999999999E-4</v>
      </c>
      <c r="F120" s="111">
        <f>A120*0.0004719474*60</f>
        <v>2.8316844000000001E-2</v>
      </c>
      <c r="G120" s="111">
        <f>A120*0.0004719474*3600</f>
        <v>1.69901064</v>
      </c>
      <c r="H120" s="111">
        <f>A120*1699.011/3600</f>
        <v>0.47194749999999996</v>
      </c>
      <c r="I120" s="111">
        <f>A120*1699.011/60</f>
        <v>28.316849999999999</v>
      </c>
      <c r="J120" s="151">
        <f>A120*1699.011</f>
        <v>1699.011</v>
      </c>
      <c r="K120" s="101"/>
      <c r="L120" s="101"/>
      <c r="M120" s="101"/>
    </row>
    <row r="121" spans="1:13" x14ac:dyDescent="0.2">
      <c r="A121" s="185">
        <v>1</v>
      </c>
      <c r="B121" s="56" t="s">
        <v>3109</v>
      </c>
      <c r="C121" s="152">
        <f>A121*0.2271247*1000000/3600</f>
        <v>63.09019444444445</v>
      </c>
      <c r="D121" s="152">
        <f>A121*0.2271247*1000000/60</f>
        <v>3785.4116666666669</v>
      </c>
      <c r="E121" s="152">
        <f>A121*0.2271247/3600</f>
        <v>6.3090194444444454E-5</v>
      </c>
      <c r="F121" s="152">
        <f>A121*0.2271247/60</f>
        <v>3.785411666666667E-3</v>
      </c>
      <c r="G121" s="152">
        <f>A121*0.2271247</f>
        <v>0.22712470000000001</v>
      </c>
      <c r="H121" s="152">
        <f>A121*0.0630902</f>
        <v>6.3090199999999999E-2</v>
      </c>
      <c r="I121" s="152">
        <f>A121*0.0630902*60</f>
        <v>3.785412</v>
      </c>
      <c r="J121" s="126">
        <f>A121*0.0630902*3600</f>
        <v>227.12472</v>
      </c>
      <c r="K121" s="101"/>
      <c r="L121" s="101"/>
      <c r="M121" s="101"/>
    </row>
    <row r="122" spans="1:13" ht="13.5" thickBot="1" x14ac:dyDescent="0.25">
      <c r="A122" s="187">
        <v>1</v>
      </c>
      <c r="B122" s="57" t="s">
        <v>3110</v>
      </c>
      <c r="C122" s="153">
        <f>A122*1000/60</f>
        <v>16.666666666666668</v>
      </c>
      <c r="D122" s="153">
        <f>A122*1000</f>
        <v>1000</v>
      </c>
      <c r="E122" s="153">
        <f>A122*1/1000/60</f>
        <v>1.6666666666666667E-5</v>
      </c>
      <c r="F122" s="153">
        <f>A122*1/1000</f>
        <v>1E-3</v>
      </c>
      <c r="G122" s="153">
        <f>A122*60/1000</f>
        <v>0.06</v>
      </c>
      <c r="H122" s="153">
        <f>A122*1/60</f>
        <v>1.6666666666666666E-2</v>
      </c>
      <c r="I122" s="153">
        <f>A122*1</f>
        <v>1</v>
      </c>
      <c r="J122" s="154">
        <f>A122*1*60</f>
        <v>60</v>
      </c>
      <c r="K122" s="101"/>
      <c r="L122" s="101"/>
      <c r="M122" s="101"/>
    </row>
    <row r="123" spans="1:13" x14ac:dyDescent="0.2">
      <c r="A123" s="167"/>
      <c r="B123" s="16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 ht="13.5" thickBot="1" x14ac:dyDescent="0.25">
      <c r="A124" s="175"/>
      <c r="B124" s="16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 x14ac:dyDescent="0.2">
      <c r="A125" s="216" t="s">
        <v>3111</v>
      </c>
      <c r="B125" s="58"/>
      <c r="C125" s="155" t="s">
        <v>3112</v>
      </c>
      <c r="D125" s="155" t="s">
        <v>3113</v>
      </c>
      <c r="E125" s="155" t="s">
        <v>3114</v>
      </c>
      <c r="F125" s="156" t="s">
        <v>3115</v>
      </c>
      <c r="G125" s="157"/>
      <c r="H125" s="157"/>
      <c r="I125" s="157"/>
      <c r="J125" s="101"/>
      <c r="K125" s="101"/>
      <c r="L125" s="101"/>
      <c r="M125" s="101"/>
    </row>
    <row r="126" spans="1:13" x14ac:dyDescent="0.2">
      <c r="A126" s="188">
        <v>1</v>
      </c>
      <c r="B126" s="59" t="s">
        <v>3116</v>
      </c>
      <c r="C126" s="147">
        <f>A126*6.4516</f>
        <v>6.4516</v>
      </c>
      <c r="D126" s="147">
        <f>A126*6.4516/10000</f>
        <v>6.4515999999999998E-4</v>
      </c>
      <c r="E126" s="147"/>
      <c r="F126" s="112"/>
      <c r="G126" s="101"/>
      <c r="H126" s="101"/>
      <c r="I126" s="101"/>
      <c r="J126" s="101"/>
      <c r="K126" s="101"/>
      <c r="L126" s="101"/>
      <c r="M126" s="101"/>
    </row>
    <row r="127" spans="1:13" x14ac:dyDescent="0.2">
      <c r="A127" s="189">
        <v>1</v>
      </c>
      <c r="B127" s="60" t="s">
        <v>3117</v>
      </c>
      <c r="C127" s="148">
        <f>A127*929.0304</f>
        <v>929.03039999999999</v>
      </c>
      <c r="D127" s="148">
        <f>A127*0.09290304</f>
        <v>9.2903040000000006E-2</v>
      </c>
      <c r="E127" s="148">
        <f>A127*0.09290304*0.000001</f>
        <v>9.2903040000000008E-8</v>
      </c>
      <c r="F127" s="114"/>
      <c r="G127" s="101"/>
      <c r="H127" s="101"/>
      <c r="I127" s="101"/>
      <c r="J127" s="101"/>
      <c r="K127" s="101"/>
      <c r="L127" s="101"/>
      <c r="M127" s="101"/>
    </row>
    <row r="128" spans="1:13" x14ac:dyDescent="0.2">
      <c r="A128" s="188">
        <v>1</v>
      </c>
      <c r="B128" s="59" t="s">
        <v>3118</v>
      </c>
      <c r="C128" s="147">
        <f>A128*0.83612736*10000</f>
        <v>8361.2736000000004</v>
      </c>
      <c r="D128" s="147">
        <f>A128*0.83612736</f>
        <v>0.83612735999999999</v>
      </c>
      <c r="E128" s="147">
        <f>A128*0.83612736*0.000001</f>
        <v>8.3612735999999996E-7</v>
      </c>
      <c r="F128" s="112"/>
      <c r="G128" s="101"/>
      <c r="H128" s="101"/>
      <c r="I128" s="101"/>
      <c r="J128" s="101"/>
      <c r="K128" s="101"/>
      <c r="L128" s="101"/>
      <c r="M128" s="101"/>
    </row>
    <row r="129" spans="1:13" x14ac:dyDescent="0.2">
      <c r="A129" s="189">
        <v>1</v>
      </c>
      <c r="B129" s="60" t="s">
        <v>3119</v>
      </c>
      <c r="C129" s="148"/>
      <c r="D129" s="148">
        <f>A129*2589988</f>
        <v>2589988</v>
      </c>
      <c r="E129" s="148">
        <f>A129*2.5899811</f>
        <v>2.5899811000000001</v>
      </c>
      <c r="F129" s="114">
        <f>A129*2.5899811*100</f>
        <v>258.99811</v>
      </c>
      <c r="G129" s="101"/>
      <c r="H129" s="101"/>
      <c r="I129" s="101"/>
      <c r="J129" s="101"/>
      <c r="K129" s="101"/>
      <c r="L129" s="101"/>
      <c r="M129" s="101"/>
    </row>
    <row r="130" spans="1:13" ht="13.5" thickBot="1" x14ac:dyDescent="0.25">
      <c r="A130" s="190">
        <v>1</v>
      </c>
      <c r="B130" s="61" t="s">
        <v>3120</v>
      </c>
      <c r="C130" s="149"/>
      <c r="D130" s="149"/>
      <c r="E130" s="149">
        <f>A130*0.004046856</f>
        <v>4.0468559999999997E-3</v>
      </c>
      <c r="F130" s="118">
        <f>A130*0.40468564</f>
        <v>0.40468564000000001</v>
      </c>
      <c r="G130" s="101"/>
      <c r="H130" s="101"/>
      <c r="I130" s="101"/>
      <c r="J130" s="101"/>
      <c r="K130" s="101"/>
      <c r="L130" s="101"/>
      <c r="M130" s="101"/>
    </row>
    <row r="131" spans="1:13" x14ac:dyDescent="0.2">
      <c r="A131" s="175"/>
      <c r="B131" s="16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 x14ac:dyDescent="0.2">
      <c r="A132" s="174"/>
      <c r="B132" s="16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 ht="13.5" thickBot="1" x14ac:dyDescent="0.25">
      <c r="A133" s="174"/>
      <c r="B133" s="16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 x14ac:dyDescent="0.2">
      <c r="A134" s="211" t="s">
        <v>3121</v>
      </c>
      <c r="B134" s="26"/>
      <c r="C134" s="109" t="s">
        <v>3122</v>
      </c>
      <c r="D134" s="109" t="s">
        <v>3123</v>
      </c>
      <c r="E134" s="110" t="s">
        <v>3124</v>
      </c>
      <c r="F134" s="101"/>
      <c r="G134" s="101"/>
      <c r="H134" s="101"/>
      <c r="I134" s="101"/>
      <c r="J134" s="101"/>
      <c r="K134" s="101"/>
      <c r="L134" s="101"/>
      <c r="M134" s="101"/>
    </row>
    <row r="135" spans="1:13" x14ac:dyDescent="0.2">
      <c r="A135" s="198">
        <v>1</v>
      </c>
      <c r="B135" s="22" t="s">
        <v>3125</v>
      </c>
      <c r="C135" s="111">
        <f>A135*28.41306</f>
        <v>28.413060000000002</v>
      </c>
      <c r="D135" s="111">
        <f>A135*28.41306/1000</f>
        <v>2.841306E-2</v>
      </c>
      <c r="E135" s="112"/>
      <c r="F135" s="101"/>
      <c r="G135" s="101"/>
      <c r="H135" s="101"/>
      <c r="I135" s="101"/>
      <c r="J135" s="101"/>
      <c r="K135" s="101"/>
      <c r="L135" s="101"/>
      <c r="M135" s="101"/>
    </row>
    <row r="136" spans="1:13" x14ac:dyDescent="0.2">
      <c r="A136" s="199">
        <v>1</v>
      </c>
      <c r="B136" s="23" t="s">
        <v>3126</v>
      </c>
      <c r="C136" s="113">
        <f>A136*473.1765</f>
        <v>473.17649999999998</v>
      </c>
      <c r="D136" s="113">
        <f>A136*473.1765/1000</f>
        <v>0.4731765</v>
      </c>
      <c r="E136" s="114"/>
      <c r="F136" s="101"/>
      <c r="G136" s="101"/>
      <c r="H136" s="101"/>
      <c r="I136" s="101"/>
      <c r="J136" s="101"/>
      <c r="K136" s="101"/>
      <c r="L136" s="101"/>
      <c r="M136" s="101"/>
    </row>
    <row r="137" spans="1:13" ht="13.5" thickBot="1" x14ac:dyDescent="0.25">
      <c r="A137" s="198">
        <v>1</v>
      </c>
      <c r="B137" s="22" t="s">
        <v>3127</v>
      </c>
      <c r="C137" s="111">
        <f>A137*946.35295</f>
        <v>946.35294999999996</v>
      </c>
      <c r="D137" s="111">
        <f>A137*946.35295/1000</f>
        <v>0.94635294999999997</v>
      </c>
      <c r="E137" s="116">
        <f>A137/(4*264.1721)</f>
        <v>9.4635277533093012E-4</v>
      </c>
      <c r="F137" s="101"/>
      <c r="G137" s="101"/>
      <c r="H137" s="101"/>
      <c r="I137" s="101"/>
      <c r="J137" s="101"/>
      <c r="K137" s="101"/>
      <c r="L137" s="101"/>
      <c r="M137" s="101"/>
    </row>
    <row r="138" spans="1:13" ht="13.5" thickBot="1" x14ac:dyDescent="0.25">
      <c r="A138" s="200">
        <v>1</v>
      </c>
      <c r="B138" s="24" t="s">
        <v>3128</v>
      </c>
      <c r="C138" s="115">
        <f>A138*3785.412</f>
        <v>3785.4119999999998</v>
      </c>
      <c r="D138" s="115">
        <f>A138*3.785412</f>
        <v>3.785412</v>
      </c>
      <c r="E138" s="116">
        <f>A138/264.1721</f>
        <v>3.7854111013237205E-3</v>
      </c>
      <c r="F138" s="101"/>
      <c r="G138" s="101"/>
      <c r="H138" s="101"/>
      <c r="I138" s="101"/>
      <c r="J138" s="101"/>
      <c r="K138" s="101"/>
      <c r="L138" s="101"/>
      <c r="M138" s="101"/>
    </row>
    <row r="139" spans="1:13" x14ac:dyDescent="0.2">
      <c r="A139" s="174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 x14ac:dyDescent="0.2">
      <c r="A140" s="174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 ht="13.5" thickBot="1" x14ac:dyDescent="0.25">
      <c r="A141" s="174"/>
      <c r="C141" s="101"/>
      <c r="D141" s="101"/>
      <c r="E141" s="158" t="s">
        <v>171</v>
      </c>
      <c r="F141" s="101"/>
      <c r="G141" s="101"/>
      <c r="H141" s="101"/>
      <c r="I141" s="101"/>
      <c r="J141" s="101"/>
      <c r="K141" s="101"/>
      <c r="L141" s="101"/>
      <c r="M141" s="101"/>
    </row>
    <row r="142" spans="1:13" x14ac:dyDescent="0.2">
      <c r="A142" s="217" t="s">
        <v>3129</v>
      </c>
      <c r="B142" s="63"/>
      <c r="C142" s="146" t="s">
        <v>3130</v>
      </c>
      <c r="D142" s="146" t="s">
        <v>3131</v>
      </c>
      <c r="E142" s="146" t="s">
        <v>3124</v>
      </c>
      <c r="F142" s="110" t="s">
        <v>3132</v>
      </c>
      <c r="G142" s="101"/>
      <c r="H142" s="101"/>
      <c r="I142" s="101"/>
      <c r="J142" s="101"/>
      <c r="K142" s="101"/>
      <c r="L142" s="101"/>
      <c r="M142" s="101"/>
    </row>
    <row r="143" spans="1:13" x14ac:dyDescent="0.2">
      <c r="A143" s="201">
        <v>1</v>
      </c>
      <c r="B143" s="64" t="s">
        <v>3133</v>
      </c>
      <c r="C143" s="147">
        <f>A143*16.387064*1000</f>
        <v>16387.063999999998</v>
      </c>
      <c r="D143" s="147">
        <f>A143*16.387064</f>
        <v>16.387063999999999</v>
      </c>
      <c r="E143" s="147">
        <f>A143*0.000016387064</f>
        <v>1.6387063999999999E-5</v>
      </c>
      <c r="F143" s="112"/>
      <c r="G143" s="101"/>
      <c r="H143" s="101"/>
      <c r="I143" s="101"/>
      <c r="J143" s="101"/>
      <c r="K143" s="101"/>
      <c r="L143" s="101"/>
      <c r="M143" s="101"/>
    </row>
    <row r="144" spans="1:13" x14ac:dyDescent="0.2">
      <c r="A144" s="202">
        <v>35</v>
      </c>
      <c r="B144" s="65" t="s">
        <v>3134</v>
      </c>
      <c r="C144" s="148"/>
      <c r="D144" s="148">
        <f>A144*28316.847</f>
        <v>991089.64500000002</v>
      </c>
      <c r="E144" s="148">
        <f>A144*0.028316847</f>
        <v>0.99108964499999996</v>
      </c>
      <c r="F144" s="114">
        <f>A144*0.028316847/1000000000</f>
        <v>9.910896449999999E-10</v>
      </c>
      <c r="G144" s="101"/>
      <c r="H144" s="101"/>
      <c r="I144" s="101"/>
      <c r="J144" s="101"/>
      <c r="K144" s="101"/>
      <c r="L144" s="101"/>
      <c r="M144" s="101"/>
    </row>
    <row r="145" spans="1:13" x14ac:dyDescent="0.2">
      <c r="A145" s="201">
        <v>1</v>
      </c>
      <c r="B145" s="64" t="s">
        <v>3135</v>
      </c>
      <c r="C145" s="147"/>
      <c r="D145" s="147">
        <f>A145*0.76455486*1000000</f>
        <v>764554.86</v>
      </c>
      <c r="E145" s="147">
        <f>A145*0.76455486</f>
        <v>0.76455485999999995</v>
      </c>
      <c r="F145" s="112">
        <f>A145*0.76455486/1000000000</f>
        <v>7.6455485999999995E-10</v>
      </c>
      <c r="G145" s="101"/>
      <c r="H145" s="101"/>
      <c r="I145" s="101"/>
      <c r="J145" s="101"/>
      <c r="K145" s="101"/>
      <c r="L145" s="101"/>
      <c r="M145" s="101"/>
    </row>
    <row r="146" spans="1:13" x14ac:dyDescent="0.2">
      <c r="A146" s="203">
        <v>1</v>
      </c>
      <c r="B146" s="66" t="s">
        <v>3136</v>
      </c>
      <c r="C146" s="125"/>
      <c r="D146" s="125"/>
      <c r="E146" s="125"/>
      <c r="F146" s="126">
        <f>A145*4.168182</f>
        <v>4.1681819999999998</v>
      </c>
      <c r="G146" s="101"/>
      <c r="H146" s="101"/>
      <c r="I146" s="101"/>
      <c r="J146" s="101"/>
      <c r="K146" s="101"/>
      <c r="L146" s="101"/>
      <c r="M146" s="101"/>
    </row>
    <row r="147" spans="1:13" ht="13.5" thickBot="1" x14ac:dyDescent="0.25">
      <c r="A147" s="204">
        <v>1</v>
      </c>
      <c r="B147" s="67" t="s">
        <v>3137</v>
      </c>
      <c r="C147" s="117"/>
      <c r="D147" s="117">
        <f>A147*1000</f>
        <v>1000</v>
      </c>
      <c r="E147" s="117">
        <f>A147*0.001</f>
        <v>1E-3</v>
      </c>
      <c r="F147" s="118">
        <f>A147*0.000000000001</f>
        <v>9.9999999999999998E-13</v>
      </c>
      <c r="G147" s="101"/>
      <c r="H147" s="101"/>
      <c r="I147" s="101"/>
      <c r="J147" s="101"/>
      <c r="K147" s="101"/>
      <c r="L147" s="101"/>
      <c r="M147" s="101"/>
    </row>
    <row r="148" spans="1:13" x14ac:dyDescent="0.2">
      <c r="A148" s="174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 x14ac:dyDescent="0.2">
      <c r="A149" s="174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 ht="13.5" thickBot="1" x14ac:dyDescent="0.25">
      <c r="A150" s="205"/>
      <c r="B150" s="20"/>
      <c r="C150" s="159"/>
      <c r="D150" s="159"/>
      <c r="E150" s="159"/>
      <c r="F150" s="159"/>
      <c r="G150" s="101"/>
      <c r="H150" s="101"/>
      <c r="I150" s="101"/>
      <c r="J150" s="101"/>
      <c r="K150" s="101"/>
      <c r="L150" s="101"/>
      <c r="M150" s="101"/>
    </row>
    <row r="151" spans="1:13" x14ac:dyDescent="0.2">
      <c r="A151" s="213" t="s">
        <v>3138</v>
      </c>
      <c r="B151" s="29"/>
      <c r="C151" s="109" t="s">
        <v>3139</v>
      </c>
      <c r="D151" s="109" t="s">
        <v>3140</v>
      </c>
      <c r="E151" s="109" t="s">
        <v>3141</v>
      </c>
      <c r="F151" s="110" t="s">
        <v>3142</v>
      </c>
      <c r="G151" s="101"/>
      <c r="H151" s="101"/>
      <c r="I151" s="101"/>
      <c r="J151" s="101"/>
      <c r="K151" s="101"/>
      <c r="L151" s="101"/>
      <c r="M151" s="101"/>
    </row>
    <row r="152" spans="1:13" x14ac:dyDescent="0.2">
      <c r="A152" s="163">
        <v>1</v>
      </c>
      <c r="B152" s="15" t="s">
        <v>3143</v>
      </c>
      <c r="C152" s="111">
        <f>A152*25.4</f>
        <v>25.4</v>
      </c>
      <c r="D152" s="111">
        <f>A152*2.54</f>
        <v>2.54</v>
      </c>
      <c r="E152" s="111">
        <f>A152*0.0254</f>
        <v>2.5399999999999999E-2</v>
      </c>
      <c r="F152" s="112">
        <f>A152*0.0000254</f>
        <v>2.5400000000000001E-5</v>
      </c>
      <c r="G152" s="101"/>
      <c r="H152" s="101"/>
      <c r="I152" s="101"/>
      <c r="J152" s="101"/>
      <c r="K152" s="101"/>
      <c r="L152" s="101"/>
      <c r="M152" s="101"/>
    </row>
    <row r="153" spans="1:13" x14ac:dyDescent="0.2">
      <c r="A153" s="172">
        <v>1</v>
      </c>
      <c r="B153" s="27" t="s">
        <v>3144</v>
      </c>
      <c r="C153" s="113">
        <f>A153*304.8</f>
        <v>304.8</v>
      </c>
      <c r="D153" s="113">
        <f>A153*30.48</f>
        <v>30.48</v>
      </c>
      <c r="E153" s="113">
        <f>A153*0.3048</f>
        <v>0.30480000000000002</v>
      </c>
      <c r="F153" s="114">
        <f>A153*0.0003048</f>
        <v>3.0479999999999998E-4</v>
      </c>
      <c r="G153" s="101"/>
      <c r="H153" s="101"/>
      <c r="I153" s="101"/>
      <c r="J153" s="101"/>
      <c r="K153" s="101"/>
      <c r="L153" s="101"/>
      <c r="M153" s="101"/>
    </row>
    <row r="154" spans="1:13" x14ac:dyDescent="0.2">
      <c r="A154" s="163">
        <v>1</v>
      </c>
      <c r="B154" s="15" t="s">
        <v>3145</v>
      </c>
      <c r="C154" s="111">
        <f>A154*914.4</f>
        <v>914.4</v>
      </c>
      <c r="D154" s="111">
        <f>A154*91.44</f>
        <v>91.44</v>
      </c>
      <c r="E154" s="111">
        <f>A154*0.9144</f>
        <v>0.91439999999999999</v>
      </c>
      <c r="F154" s="112">
        <f>A154*0.0009144</f>
        <v>9.144E-4</v>
      </c>
      <c r="G154" s="101"/>
      <c r="H154" s="101"/>
      <c r="I154" s="101"/>
      <c r="J154" s="101"/>
      <c r="K154" s="101"/>
      <c r="L154" s="101"/>
      <c r="M154" s="101"/>
    </row>
    <row r="155" spans="1:13" x14ac:dyDescent="0.2">
      <c r="A155" s="206">
        <v>1</v>
      </c>
      <c r="B155" s="70" t="s">
        <v>3146</v>
      </c>
      <c r="C155" s="152">
        <f>A155*1609344</f>
        <v>1609344</v>
      </c>
      <c r="D155" s="152">
        <f>A155*160934.4</f>
        <v>160934.39999999999</v>
      </c>
      <c r="E155" s="152">
        <f>A155*1609.344</f>
        <v>1609.3440000000001</v>
      </c>
      <c r="F155" s="126">
        <f>A155*1.609344</f>
        <v>1.6093440000000001</v>
      </c>
      <c r="G155" s="101"/>
      <c r="H155" s="101"/>
      <c r="I155" s="101"/>
      <c r="J155" s="101"/>
      <c r="K155" s="101"/>
      <c r="L155" s="101"/>
      <c r="M155" s="101"/>
    </row>
    <row r="156" spans="1:13" ht="13.5" thickBot="1" x14ac:dyDescent="0.25">
      <c r="A156" s="207">
        <v>1</v>
      </c>
      <c r="B156" s="71" t="s">
        <v>3147</v>
      </c>
      <c r="C156" s="160">
        <f>A156*1.852*1000000</f>
        <v>1852000</v>
      </c>
      <c r="D156" s="160">
        <f>A156*1.852*100000</f>
        <v>185200</v>
      </c>
      <c r="E156" s="160">
        <f>A156*1.852*1000</f>
        <v>1852</v>
      </c>
      <c r="F156" s="160">
        <f>A156*1.852</f>
        <v>1.8520000000000001</v>
      </c>
      <c r="G156" s="101"/>
      <c r="H156" s="101"/>
      <c r="I156" s="101"/>
      <c r="J156" s="101"/>
      <c r="K156" s="101"/>
      <c r="L156" s="101"/>
      <c r="M156" s="101"/>
    </row>
    <row r="157" spans="1:13" x14ac:dyDescent="0.2">
      <c r="A157" s="174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 ht="13.5" thickBot="1" x14ac:dyDescent="0.25">
      <c r="A158" s="174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 x14ac:dyDescent="0.2">
      <c r="A159" s="218" t="s">
        <v>3148</v>
      </c>
      <c r="B159" s="72"/>
      <c r="C159" s="121" t="s">
        <v>0</v>
      </c>
      <c r="D159" s="121" t="s">
        <v>1</v>
      </c>
      <c r="E159" s="121" t="s">
        <v>2</v>
      </c>
      <c r="F159" s="121" t="s">
        <v>3</v>
      </c>
      <c r="G159" s="121" t="s">
        <v>4</v>
      </c>
      <c r="H159" s="121" t="s">
        <v>5</v>
      </c>
      <c r="I159" s="121" t="s">
        <v>6</v>
      </c>
      <c r="J159" s="122" t="s">
        <v>7</v>
      </c>
      <c r="K159" s="101"/>
      <c r="L159" s="101"/>
      <c r="M159" s="101"/>
    </row>
    <row r="160" spans="1:13" x14ac:dyDescent="0.2">
      <c r="A160" s="208">
        <v>1</v>
      </c>
      <c r="B160" s="73" t="s">
        <v>8</v>
      </c>
      <c r="C160" s="161">
        <f>A160*4.1868</f>
        <v>4.1867999999999999</v>
      </c>
      <c r="D160" s="161">
        <f>A160*4.1868/1000</f>
        <v>4.1868000000000001E-3</v>
      </c>
      <c r="E160" s="161">
        <f>A160*4.1868/1000000</f>
        <v>4.1867999999999995E-6</v>
      </c>
      <c r="F160" s="161"/>
      <c r="G160" s="161"/>
      <c r="H160" s="161"/>
      <c r="I160" s="161"/>
      <c r="J160" s="162">
        <f>A160</f>
        <v>1</v>
      </c>
      <c r="K160" s="101"/>
      <c r="L160" s="101"/>
      <c r="M160" s="101"/>
    </row>
    <row r="161" spans="1:13" x14ac:dyDescent="0.2">
      <c r="A161" s="203">
        <v>1</v>
      </c>
      <c r="B161" s="66" t="s">
        <v>3</v>
      </c>
      <c r="C161" s="125">
        <f>A161*1.60219E-19</f>
        <v>1.6021899999999999E-19</v>
      </c>
      <c r="D161" s="125">
        <f>A161*1.60219E-19/1000</f>
        <v>1.60219E-22</v>
      </c>
      <c r="E161" s="125">
        <f>A161*1.60219E-19/1000000</f>
        <v>1.6021899999999999E-25</v>
      </c>
      <c r="F161" s="125">
        <f>A161</f>
        <v>1</v>
      </c>
      <c r="G161" s="125">
        <f>A161/1000</f>
        <v>1E-3</v>
      </c>
      <c r="H161" s="125">
        <f>A161/1000000</f>
        <v>9.9999999999999995E-7</v>
      </c>
      <c r="I161" s="125">
        <f>A161*0.00000000000160219</f>
        <v>1.6021900000000001E-12</v>
      </c>
      <c r="J161" s="126"/>
      <c r="K161" s="101"/>
      <c r="L161" s="101"/>
      <c r="M161" s="101"/>
    </row>
    <row r="162" spans="1:13" x14ac:dyDescent="0.2">
      <c r="A162" s="208">
        <v>1</v>
      </c>
      <c r="B162" s="73" t="s">
        <v>9</v>
      </c>
      <c r="C162" s="161">
        <f>A162</f>
        <v>1</v>
      </c>
      <c r="D162" s="161">
        <f>A162/1000</f>
        <v>1E-3</v>
      </c>
      <c r="E162" s="161">
        <f>A162/1000000</f>
        <v>9.9999999999999995E-7</v>
      </c>
      <c r="F162" s="161">
        <f>A162/1.60219E-19</f>
        <v>6.2414570057234166E+18</v>
      </c>
      <c r="G162" s="161">
        <f>A162*0.001/1.60219E-19</f>
        <v>6241457005723417</v>
      </c>
      <c r="H162" s="161">
        <f>C162*0.000001/1.60219E-19</f>
        <v>6241457005723.416</v>
      </c>
      <c r="I162" s="161">
        <f>A162*10000000</f>
        <v>10000000</v>
      </c>
      <c r="J162" s="162">
        <f>A162*0.238846</f>
        <v>0.238846</v>
      </c>
      <c r="K162" s="101"/>
      <c r="L162" s="101"/>
      <c r="M162" s="101"/>
    </row>
    <row r="163" spans="1:13" ht="13.5" thickBot="1" x14ac:dyDescent="0.25">
      <c r="A163" s="209">
        <v>1</v>
      </c>
      <c r="B163" s="74" t="s">
        <v>6</v>
      </c>
      <c r="C163" s="130">
        <f>A163*0.0000001</f>
        <v>9.9999999999999995E-8</v>
      </c>
      <c r="D163" s="130">
        <f>A163*0.0000000001</f>
        <v>1E-10</v>
      </c>
      <c r="E163" s="130">
        <f>A163*0.0000000001</f>
        <v>1E-10</v>
      </c>
      <c r="F163" s="130">
        <f>A163/0.00000000000160219</f>
        <v>624145700572.34155</v>
      </c>
      <c r="G163" s="130">
        <f>A163/1.60219E-15</f>
        <v>624145700572341.62</v>
      </c>
      <c r="H163" s="130">
        <f>A163/1.60219E-15</f>
        <v>624145700572341.62</v>
      </c>
      <c r="I163" s="130">
        <f>A163</f>
        <v>1</v>
      </c>
      <c r="J163" s="116"/>
      <c r="K163" s="101"/>
      <c r="L163" s="101"/>
      <c r="M163" s="101"/>
    </row>
    <row r="164" spans="1:13" x14ac:dyDescent="0.2">
      <c r="B164" s="3"/>
    </row>
    <row r="165" spans="1:13" ht="13.5" thickBot="1" x14ac:dyDescent="0.25"/>
    <row r="166" spans="1:13" ht="13.5" thickBot="1" x14ac:dyDescent="0.25">
      <c r="D166" s="75" t="s">
        <v>10</v>
      </c>
    </row>
    <row r="167" spans="1:13" ht="13.5" thickBot="1" x14ac:dyDescent="0.25">
      <c r="A167" s="76" t="s">
        <v>262</v>
      </c>
      <c r="B167" s="77" t="s">
        <v>11</v>
      </c>
      <c r="C167" s="77" t="s">
        <v>12</v>
      </c>
      <c r="D167" s="78" t="s">
        <v>262</v>
      </c>
      <c r="E167" s="77" t="s">
        <v>11</v>
      </c>
      <c r="F167" s="77" t="s">
        <v>12</v>
      </c>
    </row>
    <row r="168" spans="1:13" x14ac:dyDescent="0.2">
      <c r="A168" s="79">
        <v>1E+18</v>
      </c>
      <c r="B168" s="80" t="s">
        <v>13</v>
      </c>
      <c r="C168" s="80" t="s">
        <v>14</v>
      </c>
      <c r="D168" s="81">
        <v>0.1</v>
      </c>
      <c r="E168" s="80" t="s">
        <v>15</v>
      </c>
      <c r="F168" s="80" t="s">
        <v>16</v>
      </c>
    </row>
    <row r="169" spans="1:13" x14ac:dyDescent="0.2">
      <c r="A169" s="79">
        <v>1000000000000000</v>
      </c>
      <c r="B169" s="80" t="s">
        <v>17</v>
      </c>
      <c r="C169" s="80" t="s">
        <v>18</v>
      </c>
      <c r="D169" s="81">
        <v>0.01</v>
      </c>
      <c r="E169" s="80" t="s">
        <v>19</v>
      </c>
      <c r="F169" s="80" t="s">
        <v>20</v>
      </c>
    </row>
    <row r="170" spans="1:13" x14ac:dyDescent="0.2">
      <c r="A170" s="79">
        <v>1000000000000</v>
      </c>
      <c r="B170" s="80" t="s">
        <v>21</v>
      </c>
      <c r="C170" s="80" t="s">
        <v>22</v>
      </c>
      <c r="D170" s="81">
        <v>1E-3</v>
      </c>
      <c r="E170" s="80" t="s">
        <v>23</v>
      </c>
      <c r="F170" s="80" t="s">
        <v>3141</v>
      </c>
    </row>
    <row r="171" spans="1:13" x14ac:dyDescent="0.2">
      <c r="A171" s="79">
        <v>1000000000</v>
      </c>
      <c r="B171" s="80" t="s">
        <v>24</v>
      </c>
      <c r="C171" s="80" t="s">
        <v>25</v>
      </c>
      <c r="D171" s="81">
        <v>9.9999999999999995E-7</v>
      </c>
      <c r="E171" s="80" t="s">
        <v>26</v>
      </c>
      <c r="F171" s="82" t="s">
        <v>2966</v>
      </c>
    </row>
    <row r="172" spans="1:13" x14ac:dyDescent="0.2">
      <c r="A172" s="79">
        <v>1000000</v>
      </c>
      <c r="B172" s="80" t="s">
        <v>27</v>
      </c>
      <c r="C172" s="80" t="s">
        <v>28</v>
      </c>
      <c r="D172" s="81">
        <v>1.0000000000000001E-9</v>
      </c>
      <c r="E172" s="80" t="s">
        <v>29</v>
      </c>
      <c r="F172" s="80" t="s">
        <v>30</v>
      </c>
    </row>
    <row r="173" spans="1:13" x14ac:dyDescent="0.2">
      <c r="A173" s="79">
        <v>1000</v>
      </c>
      <c r="B173" s="80" t="s">
        <v>31</v>
      </c>
      <c r="C173" s="80" t="s">
        <v>32</v>
      </c>
      <c r="D173" s="81">
        <v>9.9999999999999998E-13</v>
      </c>
      <c r="E173" s="80" t="s">
        <v>33</v>
      </c>
      <c r="F173" s="80" t="s">
        <v>34</v>
      </c>
    </row>
    <row r="174" spans="1:13" x14ac:dyDescent="0.2">
      <c r="A174" s="79">
        <v>100</v>
      </c>
      <c r="B174" s="80" t="s">
        <v>35</v>
      </c>
      <c r="C174" s="80" t="s">
        <v>36</v>
      </c>
      <c r="D174" s="81">
        <v>1.0000000000000001E-15</v>
      </c>
      <c r="E174" s="80" t="s">
        <v>37</v>
      </c>
      <c r="F174" s="80" t="s">
        <v>38</v>
      </c>
    </row>
    <row r="175" spans="1:13" ht="13.5" thickBot="1" x14ac:dyDescent="0.25">
      <c r="A175" s="83">
        <v>10</v>
      </c>
      <c r="B175" s="84" t="s">
        <v>39</v>
      </c>
      <c r="C175" s="84" t="s">
        <v>40</v>
      </c>
      <c r="D175" s="85">
        <v>1.0000000000000001E-18</v>
      </c>
      <c r="E175" s="84" t="s">
        <v>41</v>
      </c>
      <c r="F175" s="84" t="s">
        <v>42</v>
      </c>
    </row>
    <row r="177" spans="1:9" x14ac:dyDescent="0.2">
      <c r="A177" t="s">
        <v>43</v>
      </c>
    </row>
    <row r="179" spans="1:9" ht="13.5" thickBot="1" x14ac:dyDescent="0.25">
      <c r="B179" s="2" t="s">
        <v>44</v>
      </c>
      <c r="C179" s="2" t="s">
        <v>171</v>
      </c>
      <c r="D179" s="2" t="s">
        <v>171</v>
      </c>
    </row>
    <row r="180" spans="1:9" ht="13.5" thickBot="1" x14ac:dyDescent="0.25">
      <c r="A180" s="86" t="s">
        <v>45</v>
      </c>
      <c r="B180" s="87" t="s">
        <v>46</v>
      </c>
      <c r="C180" s="87" t="s">
        <v>172</v>
      </c>
      <c r="D180" s="88" t="s">
        <v>47</v>
      </c>
      <c r="E180" s="88" t="s">
        <v>48</v>
      </c>
      <c r="F180" s="89" t="s">
        <v>49</v>
      </c>
      <c r="G180" s="90" t="s">
        <v>50</v>
      </c>
    </row>
    <row r="181" spans="1:9" x14ac:dyDescent="0.2">
      <c r="A181" s="91" t="s">
        <v>51</v>
      </c>
      <c r="B181" s="92" t="s">
        <v>52</v>
      </c>
      <c r="C181" s="92" t="s">
        <v>3141</v>
      </c>
      <c r="D181" s="7"/>
      <c r="E181" s="7"/>
      <c r="F181" s="7"/>
      <c r="G181" s="62"/>
    </row>
    <row r="182" spans="1:9" x14ac:dyDescent="0.2">
      <c r="A182" s="91" t="s">
        <v>3089</v>
      </c>
      <c r="B182" s="92" t="s">
        <v>53</v>
      </c>
      <c r="C182" s="92" t="s">
        <v>294</v>
      </c>
      <c r="D182" s="7" t="s">
        <v>3090</v>
      </c>
      <c r="E182" s="7"/>
      <c r="F182" s="7"/>
      <c r="G182" s="62"/>
      <c r="I182" s="93"/>
    </row>
    <row r="183" spans="1:9" x14ac:dyDescent="0.2">
      <c r="A183" s="91" t="s">
        <v>54</v>
      </c>
      <c r="B183" s="92" t="s">
        <v>180</v>
      </c>
      <c r="C183" s="92" t="s">
        <v>55</v>
      </c>
      <c r="D183" s="7" t="s">
        <v>56</v>
      </c>
      <c r="E183" s="7"/>
      <c r="F183" s="7"/>
      <c r="G183" s="62"/>
    </row>
    <row r="184" spans="1:9" x14ac:dyDescent="0.2">
      <c r="A184" s="91" t="s">
        <v>57</v>
      </c>
      <c r="B184" s="92" t="s">
        <v>58</v>
      </c>
      <c r="C184" s="92" t="s">
        <v>173</v>
      </c>
      <c r="D184" s="7"/>
      <c r="E184" s="7" t="s">
        <v>59</v>
      </c>
      <c r="F184" s="7"/>
      <c r="G184" s="62"/>
    </row>
    <row r="185" spans="1:9" x14ac:dyDescent="0.2">
      <c r="A185" s="91" t="s">
        <v>60</v>
      </c>
      <c r="B185" s="92" t="s">
        <v>61</v>
      </c>
      <c r="C185" s="92" t="s">
        <v>62</v>
      </c>
      <c r="D185" s="7" t="s">
        <v>63</v>
      </c>
      <c r="E185" s="7"/>
      <c r="F185" s="7"/>
      <c r="G185" s="62"/>
    </row>
    <row r="186" spans="1:9" x14ac:dyDescent="0.2">
      <c r="A186" s="91" t="s">
        <v>64</v>
      </c>
      <c r="B186" s="92" t="s">
        <v>65</v>
      </c>
      <c r="C186" s="92" t="s">
        <v>66</v>
      </c>
      <c r="D186" s="7"/>
      <c r="E186" s="7"/>
      <c r="F186" s="7"/>
      <c r="G186" s="62"/>
    </row>
    <row r="187" spans="1:9" x14ac:dyDescent="0.2">
      <c r="A187" s="91" t="s">
        <v>3148</v>
      </c>
      <c r="B187" s="92" t="s">
        <v>67</v>
      </c>
      <c r="C187" s="92" t="s">
        <v>68</v>
      </c>
      <c r="D187" s="7" t="s">
        <v>69</v>
      </c>
      <c r="E187" s="7" t="s">
        <v>70</v>
      </c>
      <c r="F187" s="7"/>
      <c r="G187" s="62" t="s">
        <v>71</v>
      </c>
    </row>
    <row r="188" spans="1:9" x14ac:dyDescent="0.2">
      <c r="A188" s="91" t="s">
        <v>72</v>
      </c>
      <c r="B188" s="92"/>
      <c r="C188" s="92" t="s">
        <v>73</v>
      </c>
      <c r="D188" s="7" t="s">
        <v>74</v>
      </c>
      <c r="E188" s="7"/>
      <c r="F188" s="7"/>
      <c r="G188" s="62"/>
    </row>
    <row r="189" spans="1:9" x14ac:dyDescent="0.2">
      <c r="A189" s="91" t="s">
        <v>3129</v>
      </c>
      <c r="B189" s="92"/>
      <c r="C189" s="92" t="s">
        <v>75</v>
      </c>
      <c r="D189" s="7"/>
      <c r="E189" s="7"/>
      <c r="F189" s="7"/>
      <c r="G189" s="62"/>
    </row>
    <row r="190" spans="1:9" x14ac:dyDescent="0.2">
      <c r="A190" s="91" t="s">
        <v>76</v>
      </c>
      <c r="B190" s="92" t="s">
        <v>77</v>
      </c>
      <c r="C190" s="92" t="s">
        <v>78</v>
      </c>
      <c r="D190" s="7"/>
      <c r="E190" s="7" t="s">
        <v>79</v>
      </c>
      <c r="F190" s="7"/>
      <c r="G190" s="62"/>
    </row>
    <row r="191" spans="1:9" x14ac:dyDescent="0.2">
      <c r="A191" s="91" t="s">
        <v>80</v>
      </c>
      <c r="B191" s="92" t="s">
        <v>81</v>
      </c>
      <c r="C191" s="92"/>
      <c r="D191" s="7"/>
      <c r="E191" s="7" t="s">
        <v>82</v>
      </c>
      <c r="F191" s="7"/>
      <c r="G191" s="62"/>
    </row>
    <row r="192" spans="1:9" x14ac:dyDescent="0.2">
      <c r="A192" s="91" t="s">
        <v>83</v>
      </c>
      <c r="B192" s="92" t="s">
        <v>84</v>
      </c>
      <c r="C192" s="92" t="s">
        <v>85</v>
      </c>
      <c r="D192" s="7"/>
      <c r="E192" s="7" t="s">
        <v>86</v>
      </c>
      <c r="F192" s="7"/>
      <c r="G192" s="62" t="s">
        <v>87</v>
      </c>
    </row>
    <row r="193" spans="1:7" x14ac:dyDescent="0.2">
      <c r="A193" s="91" t="s">
        <v>88</v>
      </c>
      <c r="B193" s="92" t="s">
        <v>89</v>
      </c>
      <c r="C193" s="92" t="s">
        <v>90</v>
      </c>
      <c r="D193" s="7"/>
      <c r="E193" s="7" t="s">
        <v>91</v>
      </c>
      <c r="F193" s="7"/>
      <c r="G193" s="62" t="s">
        <v>92</v>
      </c>
    </row>
    <row r="194" spans="1:7" x14ac:dyDescent="0.2">
      <c r="A194" s="91" t="s">
        <v>93</v>
      </c>
      <c r="B194" s="92" t="s">
        <v>94</v>
      </c>
      <c r="C194" s="92" t="s">
        <v>95</v>
      </c>
      <c r="D194" s="7"/>
      <c r="E194" s="7" t="s">
        <v>96</v>
      </c>
      <c r="F194" s="7"/>
      <c r="G194" s="62"/>
    </row>
    <row r="195" spans="1:7" x14ac:dyDescent="0.2">
      <c r="A195" s="91" t="s">
        <v>97</v>
      </c>
      <c r="B195" s="92" t="s">
        <v>98</v>
      </c>
      <c r="C195" s="92" t="s">
        <v>99</v>
      </c>
      <c r="D195" s="7"/>
      <c r="E195" s="7" t="s">
        <v>100</v>
      </c>
      <c r="F195" s="7"/>
      <c r="G195" s="62" t="s">
        <v>101</v>
      </c>
    </row>
    <row r="196" spans="1:7" x14ac:dyDescent="0.2">
      <c r="A196" s="91" t="s">
        <v>102</v>
      </c>
      <c r="B196" s="92" t="s">
        <v>103</v>
      </c>
      <c r="C196" s="92" t="s">
        <v>104</v>
      </c>
      <c r="D196" s="7"/>
      <c r="E196" s="7" t="s">
        <v>105</v>
      </c>
      <c r="F196" s="7"/>
      <c r="G196" s="62" t="s">
        <v>106</v>
      </c>
    </row>
    <row r="197" spans="1:7" x14ac:dyDescent="0.2">
      <c r="A197" s="91" t="s">
        <v>107</v>
      </c>
      <c r="B197" s="92" t="s">
        <v>108</v>
      </c>
      <c r="C197" s="92" t="s">
        <v>109</v>
      </c>
      <c r="D197" s="7"/>
      <c r="E197" s="7" t="s">
        <v>110</v>
      </c>
      <c r="F197" s="7"/>
      <c r="G197" s="62"/>
    </row>
    <row r="198" spans="1:7" x14ac:dyDescent="0.2">
      <c r="A198" s="91" t="s">
        <v>111</v>
      </c>
      <c r="B198" s="92" t="s">
        <v>112</v>
      </c>
      <c r="C198" s="94"/>
      <c r="D198" s="7"/>
      <c r="E198" s="7" t="s">
        <v>113</v>
      </c>
      <c r="F198" s="7"/>
      <c r="G198" s="62"/>
    </row>
    <row r="199" spans="1:7" x14ac:dyDescent="0.2">
      <c r="A199" s="91" t="s">
        <v>206</v>
      </c>
      <c r="B199" s="92" t="s">
        <v>114</v>
      </c>
      <c r="C199" s="92" t="s">
        <v>277</v>
      </c>
      <c r="D199" s="7"/>
      <c r="E199" s="7" t="s">
        <v>79</v>
      </c>
      <c r="F199" s="7"/>
      <c r="G199" s="62"/>
    </row>
    <row r="200" spans="1:7" x14ac:dyDescent="0.2">
      <c r="A200" s="91" t="s">
        <v>115</v>
      </c>
      <c r="B200" s="92"/>
      <c r="C200" s="92" t="s">
        <v>116</v>
      </c>
      <c r="D200" s="7"/>
      <c r="E200" s="7" t="s">
        <v>117</v>
      </c>
      <c r="F200" s="7"/>
      <c r="G200" s="62"/>
    </row>
    <row r="201" spans="1:7" x14ac:dyDescent="0.2">
      <c r="A201" s="91" t="s">
        <v>118</v>
      </c>
      <c r="B201" s="92" t="s">
        <v>119</v>
      </c>
      <c r="C201" s="92" t="s">
        <v>2985</v>
      </c>
      <c r="D201" s="7"/>
      <c r="E201" s="7" t="s">
        <v>120</v>
      </c>
      <c r="F201" s="7"/>
      <c r="G201" s="62" t="s">
        <v>121</v>
      </c>
    </row>
    <row r="202" spans="1:7" ht="13.5" thickBot="1" x14ac:dyDescent="0.25">
      <c r="A202" s="95" t="s">
        <v>122</v>
      </c>
      <c r="B202" s="96" t="s">
        <v>123</v>
      </c>
      <c r="C202" s="96" t="s">
        <v>2997</v>
      </c>
      <c r="D202" s="68"/>
      <c r="E202" s="68" t="s">
        <v>120</v>
      </c>
      <c r="F202" s="68"/>
      <c r="G202" s="69" t="s">
        <v>121</v>
      </c>
    </row>
  </sheetData>
  <phoneticPr fontId="0" type="noConversion"/>
  <printOptions gridLines="1" gridLinesSet="0"/>
  <pageMargins left="0.75" right="0.75" top="1" bottom="1" header="0.5" footer="0.5"/>
  <pageSetup orientation="landscape" horizontalDpi="0" verticalDpi="0" copies="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7"/>
  <sheetViews>
    <sheetView zoomScale="75" workbookViewId="0">
      <selection activeCell="H50" sqref="H50"/>
    </sheetView>
  </sheetViews>
  <sheetFormatPr defaultRowHeight="12.75" x14ac:dyDescent="0.2"/>
  <cols>
    <col min="1" max="1" width="12.140625" customWidth="1"/>
    <col min="2" max="2" width="12.5703125" customWidth="1"/>
    <col min="3" max="3" width="13.140625" customWidth="1"/>
    <col min="4" max="4" width="18.85546875" customWidth="1"/>
    <col min="5" max="5" width="18.7109375" customWidth="1"/>
    <col min="6" max="6" width="15.5703125" customWidth="1"/>
    <col min="7" max="7" width="13.85546875" customWidth="1"/>
    <col min="8" max="8" width="20.42578125" customWidth="1"/>
    <col min="9" max="9" width="14.7109375" customWidth="1"/>
    <col min="10" max="10" width="11.42578125" customWidth="1"/>
    <col min="11" max="13" width="11.7109375" customWidth="1"/>
    <col min="14" max="15" width="10.28515625" customWidth="1"/>
  </cols>
  <sheetData>
    <row r="1" spans="1:15" x14ac:dyDescent="0.2">
      <c r="A1" s="222" t="s">
        <v>124</v>
      </c>
      <c r="D1" t="s">
        <v>2972</v>
      </c>
    </row>
    <row r="2" spans="1:15" x14ac:dyDescent="0.2">
      <c r="D2" s="210" t="s">
        <v>3006</v>
      </c>
      <c r="E2" s="120">
        <v>0.876</v>
      </c>
      <c r="F2" s="101" t="s">
        <v>3007</v>
      </c>
    </row>
    <row r="3" spans="1:15" x14ac:dyDescent="0.2">
      <c r="A3" s="9" t="s">
        <v>201</v>
      </c>
      <c r="B3" s="10" t="s">
        <v>202</v>
      </c>
      <c r="C3" s="5"/>
      <c r="D3" s="119" t="s">
        <v>141</v>
      </c>
      <c r="E3" s="101">
        <v>3700000000000000</v>
      </c>
      <c r="F3" s="5"/>
      <c r="G3" s="5"/>
      <c r="H3" s="5"/>
      <c r="I3" s="5"/>
      <c r="J3" s="9"/>
      <c r="K3" s="5"/>
      <c r="L3" s="5"/>
    </row>
    <row r="4" spans="1:15" ht="13.5" thickBot="1" x14ac:dyDescent="0.25">
      <c r="A4" s="9"/>
      <c r="B4" s="10"/>
      <c r="C4" s="5"/>
      <c r="D4" s="5"/>
      <c r="E4" s="5"/>
      <c r="F4" s="5"/>
      <c r="G4" s="5"/>
      <c r="H4" s="5"/>
      <c r="I4" s="5"/>
      <c r="J4" s="9"/>
      <c r="K4" s="5"/>
      <c r="L4" s="5"/>
    </row>
    <row r="5" spans="1:15" x14ac:dyDescent="0.2">
      <c r="A5" s="239" t="s">
        <v>206</v>
      </c>
      <c r="B5" s="12" t="s">
        <v>171</v>
      </c>
      <c r="C5" s="13" t="s">
        <v>275</v>
      </c>
      <c r="D5" s="13" t="s">
        <v>273</v>
      </c>
      <c r="E5" s="13" t="s">
        <v>251</v>
      </c>
      <c r="F5" s="13" t="s">
        <v>207</v>
      </c>
      <c r="G5" s="13" t="s">
        <v>269</v>
      </c>
      <c r="H5" s="13" t="s">
        <v>267</v>
      </c>
      <c r="I5" s="14" t="s">
        <v>265</v>
      </c>
      <c r="J5" s="5"/>
      <c r="K5" s="5"/>
      <c r="L5" s="5"/>
    </row>
    <row r="6" spans="1:15" x14ac:dyDescent="0.2">
      <c r="A6" s="223">
        <v>1.3</v>
      </c>
      <c r="B6" s="15" t="s">
        <v>2976</v>
      </c>
      <c r="C6" s="266">
        <f>($A$6*1/3.7E+28)</f>
        <v>3.5135135135135137E-29</v>
      </c>
      <c r="D6" s="266">
        <f>($A$6*1/3.7E+25)</f>
        <v>3.513513513513514E-26</v>
      </c>
      <c r="E6" s="266">
        <f>($A$6*1/3.7E+22)</f>
        <v>3.5135135135135138E-23</v>
      </c>
      <c r="F6" s="266">
        <f xml:space="preserve"> A6*1/37000000000000000000</f>
        <v>3.5135135135135136E-20</v>
      </c>
      <c r="G6" s="266">
        <f>A6*1/37000000000000000</f>
        <v>3.5135135135135137E-17</v>
      </c>
      <c r="H6" s="266">
        <f>A6*1/37000000000000</f>
        <v>3.5135135135135137E-14</v>
      </c>
      <c r="I6" s="266">
        <f>A6*1/37000000000</f>
        <v>3.5135135135135137E-11</v>
      </c>
      <c r="J6" s="101"/>
      <c r="K6" s="101"/>
      <c r="L6" s="101"/>
      <c r="M6" s="101"/>
    </row>
    <row r="7" spans="1:15" x14ac:dyDescent="0.2">
      <c r="A7" s="224">
        <v>1000000000</v>
      </c>
      <c r="B7" s="17" t="s">
        <v>2977</v>
      </c>
      <c r="C7" s="267">
        <f>($A$7*1/3.7E+25)</f>
        <v>2.7027027027027028E-17</v>
      </c>
      <c r="D7" s="267">
        <f>($A$7*1/3.7E+22)</f>
        <v>2.7027027027027029E-14</v>
      </c>
      <c r="E7" s="267">
        <f>($A$7*1/37000000000000000000)</f>
        <v>2.7027027027027027E-11</v>
      </c>
      <c r="F7" s="267">
        <f xml:space="preserve"> A7*1/37000000000000000</f>
        <v>2.7027027027027028E-8</v>
      </c>
      <c r="G7" s="267">
        <f>A7*1/37000000000000</f>
        <v>2.7027027027027027E-5</v>
      </c>
      <c r="H7" s="267">
        <f>A7*1/37000000000</f>
        <v>2.7027027027027029E-2</v>
      </c>
      <c r="I7" s="267">
        <f>A7*1/37000000</f>
        <v>27.027027027027028</v>
      </c>
      <c r="J7" s="104" t="s">
        <v>171</v>
      </c>
      <c r="K7" s="101"/>
      <c r="L7" s="101"/>
      <c r="M7" s="101"/>
    </row>
    <row r="8" spans="1:15" x14ac:dyDescent="0.2">
      <c r="A8" s="223">
        <v>1000000000</v>
      </c>
      <c r="B8" s="15" t="s">
        <v>2978</v>
      </c>
      <c r="C8" s="266">
        <f>($A$8*1/3.7E+22)</f>
        <v>2.7027027027027029E-14</v>
      </c>
      <c r="D8" s="266">
        <f>($A$8*1/37000000000000000000)</f>
        <v>2.7027027027027027E-11</v>
      </c>
      <c r="E8" s="266">
        <f>($A$8*1/37000000000000000)</f>
        <v>2.7027027027027028E-8</v>
      </c>
      <c r="F8" s="266">
        <f xml:space="preserve"> A8*1/37000000000000</f>
        <v>2.7027027027027027E-5</v>
      </c>
      <c r="G8" s="266">
        <f>A8*1/37000000000</f>
        <v>2.7027027027027029E-2</v>
      </c>
      <c r="H8" s="266">
        <f>A8*1/37000000</f>
        <v>27.027027027027028</v>
      </c>
      <c r="I8" s="266">
        <f>A8*1/37000</f>
        <v>27027.027027027027</v>
      </c>
      <c r="J8" s="101"/>
      <c r="K8" s="101"/>
      <c r="L8" s="101"/>
      <c r="M8" s="101"/>
    </row>
    <row r="9" spans="1:15" x14ac:dyDescent="0.2">
      <c r="A9" s="224">
        <v>1000000000</v>
      </c>
      <c r="B9" s="17" t="s">
        <v>285</v>
      </c>
      <c r="C9" s="267">
        <f>($A$9*1/37000000000000000000)</f>
        <v>2.7027027027027027E-11</v>
      </c>
      <c r="D9" s="267">
        <f>($A$9*1/37000000000000000)</f>
        <v>2.7027027027027028E-8</v>
      </c>
      <c r="E9" s="267">
        <f>($A$9*1/37000000000000)</f>
        <v>2.7027027027027027E-5</v>
      </c>
      <c r="F9" s="267">
        <f xml:space="preserve"> A9*1/37000000000</f>
        <v>2.7027027027027029E-2</v>
      </c>
      <c r="G9" s="267">
        <f>A9*1/37000000</f>
        <v>27.027027027027028</v>
      </c>
      <c r="H9" s="267">
        <f>A9*1/37000</f>
        <v>27027.027027027027</v>
      </c>
      <c r="I9" s="267">
        <f>A9*1/37</f>
        <v>27027027.027027026</v>
      </c>
      <c r="J9" s="101"/>
      <c r="K9" s="101"/>
      <c r="L9" s="101"/>
      <c r="M9" s="101"/>
    </row>
    <row r="10" spans="1:15" x14ac:dyDescent="0.2">
      <c r="A10" s="223">
        <v>1000000000</v>
      </c>
      <c r="B10" s="15" t="s">
        <v>277</v>
      </c>
      <c r="C10" s="266">
        <f>($A$10*1/37000000000000000)</f>
        <v>2.7027027027027028E-8</v>
      </c>
      <c r="D10" s="266">
        <f>($A$10*1/37000000000000)</f>
        <v>2.7027027027027027E-5</v>
      </c>
      <c r="E10" s="266">
        <f>($A$10*1/37000000000)</f>
        <v>2.7027027027027029E-2</v>
      </c>
      <c r="F10" s="266">
        <f xml:space="preserve"> A10*1/37000000</f>
        <v>27.027027027027028</v>
      </c>
      <c r="G10" s="266">
        <f>A10*1/37000</f>
        <v>27027.027027027027</v>
      </c>
      <c r="H10" s="266">
        <f>A10*1/37</f>
        <v>27027027.027027026</v>
      </c>
      <c r="I10" s="266">
        <f>A10*1/0.037</f>
        <v>27027027027.027027</v>
      </c>
      <c r="J10" s="101"/>
      <c r="K10" s="101"/>
      <c r="L10" s="101"/>
      <c r="M10" s="101"/>
    </row>
    <row r="11" spans="1:15" x14ac:dyDescent="0.2">
      <c r="A11" s="224">
        <v>1000000000</v>
      </c>
      <c r="B11" s="17" t="s">
        <v>279</v>
      </c>
      <c r="C11" s="267">
        <f>($A$11*1/37000000000000)</f>
        <v>2.7027027027027027E-5</v>
      </c>
      <c r="D11" s="267">
        <f>($A$11*1/37000000000)</f>
        <v>2.7027027027027029E-2</v>
      </c>
      <c r="E11" s="267">
        <f>($A$11*1/37000000)</f>
        <v>27.027027027027028</v>
      </c>
      <c r="F11" s="267">
        <f xml:space="preserve"> A11*1/37000</f>
        <v>27027.027027027027</v>
      </c>
      <c r="G11" s="267">
        <f>A11*1/37</f>
        <v>27027027.027027026</v>
      </c>
      <c r="H11" s="267">
        <f>A11*1/0.037</f>
        <v>27027027027.027027</v>
      </c>
      <c r="I11" s="267">
        <f>A11*1/0.000037</f>
        <v>27027027027027.027</v>
      </c>
      <c r="J11" s="101"/>
      <c r="K11" s="101"/>
      <c r="L11" s="101"/>
      <c r="M11" s="101"/>
    </row>
    <row r="12" spans="1:15" x14ac:dyDescent="0.2">
      <c r="A12" s="223">
        <v>3000</v>
      </c>
      <c r="B12" s="15" t="s">
        <v>281</v>
      </c>
      <c r="C12" s="266">
        <f>($A$12*1/37000000000)</f>
        <v>8.1081081081081077E-8</v>
      </c>
      <c r="D12" s="266">
        <f>($A$12*1/37000000)</f>
        <v>8.1081081081081077E-5</v>
      </c>
      <c r="E12" s="266">
        <f>($A$12*1/37000)</f>
        <v>8.1081081081081086E-2</v>
      </c>
      <c r="F12" s="266">
        <f xml:space="preserve"> A12*1/37</f>
        <v>81.081081081081081</v>
      </c>
      <c r="G12" s="266">
        <f>A12*1/0.037</f>
        <v>81081.08108108108</v>
      </c>
      <c r="H12" s="266">
        <f>A12*1/0.000037</f>
        <v>81081081.081081092</v>
      </c>
      <c r="I12" s="266">
        <f>A12*1/0.000000037</f>
        <v>81081081081.081085</v>
      </c>
      <c r="J12" s="101"/>
      <c r="K12" s="101"/>
      <c r="L12" s="101"/>
      <c r="M12" s="101"/>
    </row>
    <row r="13" spans="1:15" x14ac:dyDescent="0.2">
      <c r="A13" s="224">
        <v>190</v>
      </c>
      <c r="B13" s="17" t="s">
        <v>283</v>
      </c>
      <c r="C13" s="267">
        <f>($A$13*1/37000000)</f>
        <v>5.1351351351351351E-6</v>
      </c>
      <c r="D13" s="267">
        <f>($A$13*1/37000)</f>
        <v>5.1351351351351347E-3</v>
      </c>
      <c r="E13" s="267">
        <f>($A$13*1/37)</f>
        <v>5.1351351351351351</v>
      </c>
      <c r="F13" s="267">
        <f xml:space="preserve"> A13*1/0.037</f>
        <v>5135.135135135135</v>
      </c>
      <c r="G13" s="267">
        <f>A13*1/0.000037</f>
        <v>5135135.1351351356</v>
      </c>
      <c r="H13" s="267">
        <f>A13*1/0.000000037</f>
        <v>5135135135.1351347</v>
      </c>
      <c r="I13" s="267">
        <f>A13*1/0.000000000037</f>
        <v>5135135135135.1348</v>
      </c>
      <c r="J13" s="107"/>
      <c r="K13" s="108"/>
      <c r="L13" s="101"/>
      <c r="M13" s="101"/>
      <c r="N13" s="101"/>
      <c r="O13" s="101"/>
    </row>
    <row r="14" spans="1:15" x14ac:dyDescent="0.2">
      <c r="A14" s="223">
        <v>15</v>
      </c>
      <c r="B14" s="15" t="s">
        <v>2973</v>
      </c>
      <c r="C14" s="266">
        <f>($A$14*1/37000)</f>
        <v>4.0540540540540538E-4</v>
      </c>
      <c r="D14" s="266">
        <f>($A$14*1/37)</f>
        <v>0.40540540540540543</v>
      </c>
      <c r="E14" s="266">
        <f>($A$14*1/0.037)</f>
        <v>405.40540540540542</v>
      </c>
      <c r="F14" s="266">
        <f xml:space="preserve"> A14*1/0.000037</f>
        <v>405405.40540540544</v>
      </c>
      <c r="G14" s="266">
        <f>A14*1/0.000000037</f>
        <v>405405405.4054054</v>
      </c>
      <c r="H14" s="266">
        <f>A14*1/0.000000000037</f>
        <v>405405405405.4054</v>
      </c>
      <c r="I14" s="266">
        <f>A14*1/0.000000000000037</f>
        <v>405405405405405.37</v>
      </c>
      <c r="J14" s="107"/>
      <c r="K14" s="108"/>
      <c r="L14" s="101"/>
      <c r="M14" s="101"/>
      <c r="N14" s="101"/>
      <c r="O14" s="101"/>
    </row>
    <row r="15" spans="1:15" ht="13.5" thickBot="1" x14ac:dyDescent="0.25">
      <c r="A15" s="240">
        <v>81</v>
      </c>
      <c r="B15" s="241" t="s">
        <v>2974</v>
      </c>
      <c r="C15" s="267">
        <f>($A$15*1/37)</f>
        <v>2.189189189189189</v>
      </c>
      <c r="D15" s="267">
        <f>($A$15*1/0.037)</f>
        <v>2189.1891891891892</v>
      </c>
      <c r="E15" s="267">
        <f>($A$15*1/0.000037)</f>
        <v>2189189.1891891891</v>
      </c>
      <c r="F15" s="267">
        <f xml:space="preserve"> A15*1/0.000000037</f>
        <v>2189189189.189189</v>
      </c>
      <c r="G15" s="267">
        <f>A15*1/0.000000000037</f>
        <v>2189189189189.1892</v>
      </c>
      <c r="H15" s="267">
        <f>A15*1/0.000000000000037</f>
        <v>2189189189189189.2</v>
      </c>
      <c r="I15" s="267">
        <f>A15*1/0.000000000000000037</f>
        <v>2.1891891891891894E+18</v>
      </c>
      <c r="J15" s="101"/>
      <c r="K15" s="101"/>
      <c r="L15" s="101"/>
      <c r="M15" s="101"/>
      <c r="N15" s="101"/>
      <c r="O15" s="101"/>
    </row>
    <row r="16" spans="1:15" x14ac:dyDescent="0.2">
      <c r="A16" s="171"/>
      <c r="B16" s="20"/>
      <c r="C16" s="108"/>
      <c r="D16" s="108"/>
      <c r="E16" s="108"/>
      <c r="F16" s="108"/>
      <c r="G16" s="108"/>
      <c r="H16" s="101"/>
      <c r="I16" s="101"/>
      <c r="J16" s="101"/>
      <c r="K16" s="101"/>
      <c r="L16" s="101"/>
      <c r="M16" s="101"/>
    </row>
    <row r="17" spans="1:13" x14ac:dyDescent="0.2">
      <c r="A17" s="171"/>
      <c r="B17" s="20"/>
      <c r="C17" s="108"/>
      <c r="D17" s="108"/>
      <c r="E17" s="108"/>
      <c r="F17" s="108"/>
      <c r="G17" s="108"/>
      <c r="H17" s="101"/>
      <c r="I17" s="101"/>
      <c r="J17" s="101"/>
      <c r="K17" s="101"/>
      <c r="L17" s="101"/>
      <c r="M17" s="101"/>
    </row>
    <row r="18" spans="1:13" ht="13.5" thickBot="1" x14ac:dyDescent="0.25">
      <c r="A18" s="167"/>
      <c r="B18" s="2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pans="1:13" x14ac:dyDescent="0.2">
      <c r="A19" s="212" t="s">
        <v>125</v>
      </c>
      <c r="B19" s="25"/>
      <c r="C19" s="109" t="s">
        <v>126</v>
      </c>
      <c r="D19" s="109" t="s">
        <v>2988</v>
      </c>
      <c r="E19" s="109" t="s">
        <v>2989</v>
      </c>
      <c r="F19" s="109" t="s">
        <v>2990</v>
      </c>
      <c r="G19" s="109" t="s">
        <v>2991</v>
      </c>
      <c r="H19" s="110" t="s">
        <v>2992</v>
      </c>
      <c r="I19" s="101"/>
      <c r="J19" s="101"/>
      <c r="K19" s="101"/>
      <c r="L19" s="101"/>
      <c r="M19" s="101"/>
    </row>
    <row r="20" spans="1:13" x14ac:dyDescent="0.2">
      <c r="A20" s="163">
        <v>1</v>
      </c>
      <c r="B20" s="15" t="s">
        <v>2982</v>
      </c>
      <c r="C20" s="266">
        <f>$A$20*100</f>
        <v>100</v>
      </c>
      <c r="D20" s="266">
        <f>$A$20/10</f>
        <v>0.1</v>
      </c>
      <c r="E20" s="266">
        <f>$A$20/10000</f>
        <v>1E-4</v>
      </c>
      <c r="F20" s="266">
        <f>$A$20/10000000</f>
        <v>9.9999999999999995E-8</v>
      </c>
      <c r="G20" s="266">
        <f>$A$20/10000000000</f>
        <v>1E-10</v>
      </c>
      <c r="H20" s="266">
        <f>$A$20/10</f>
        <v>0.1</v>
      </c>
      <c r="I20" s="101"/>
      <c r="J20" s="101"/>
      <c r="K20" s="101"/>
      <c r="L20" s="101"/>
      <c r="M20" s="101"/>
    </row>
    <row r="21" spans="1:13" x14ac:dyDescent="0.2">
      <c r="A21" s="172">
        <v>1</v>
      </c>
      <c r="B21" s="27" t="s">
        <v>2983</v>
      </c>
      <c r="C21" s="267">
        <f>$A$21*100000</f>
        <v>100000</v>
      </c>
      <c r="D21" s="267">
        <f>$A$21*100</f>
        <v>100</v>
      </c>
      <c r="E21" s="267">
        <f>$A$21/10</f>
        <v>0.1</v>
      </c>
      <c r="F21" s="267">
        <f>$A$21/10000</f>
        <v>1E-4</v>
      </c>
      <c r="G21" s="267">
        <f>$A$21/10000000</f>
        <v>9.9999999999999995E-8</v>
      </c>
      <c r="H21" s="267">
        <f>$A$21/0.1</f>
        <v>10</v>
      </c>
      <c r="I21" s="101"/>
      <c r="J21" s="101"/>
      <c r="K21" s="101"/>
      <c r="L21" s="101"/>
      <c r="M21" s="101"/>
    </row>
    <row r="22" spans="1:13" x14ac:dyDescent="0.2">
      <c r="A22" s="163">
        <v>1</v>
      </c>
      <c r="B22" s="15" t="s">
        <v>2984</v>
      </c>
      <c r="C22" s="266">
        <f>$A$22*100000000</f>
        <v>100000000</v>
      </c>
      <c r="D22" s="266">
        <f>$A$22*100000</f>
        <v>100000</v>
      </c>
      <c r="E22" s="266">
        <f>$A$22*100</f>
        <v>100</v>
      </c>
      <c r="F22" s="266">
        <f>$A$22/10</f>
        <v>0.1</v>
      </c>
      <c r="G22" s="266">
        <f>$A$22/10000</f>
        <v>1E-4</v>
      </c>
      <c r="H22" s="266">
        <f>$A$22/10</f>
        <v>0.1</v>
      </c>
      <c r="I22" s="101"/>
      <c r="J22" s="101"/>
      <c r="K22" s="101"/>
      <c r="L22" s="101"/>
      <c r="M22" s="101"/>
    </row>
    <row r="23" spans="1:13" x14ac:dyDescent="0.2">
      <c r="A23" s="172">
        <v>1</v>
      </c>
      <c r="B23" s="27" t="s">
        <v>127</v>
      </c>
      <c r="C23" s="267">
        <f>$A$23*1000000000</f>
        <v>1000000000</v>
      </c>
      <c r="D23" s="267">
        <f>$A$23*1000000</f>
        <v>1000000</v>
      </c>
      <c r="E23" s="267">
        <f>$A$23*1000</f>
        <v>1000</v>
      </c>
      <c r="F23" s="267">
        <f>$A$23*1</f>
        <v>1</v>
      </c>
      <c r="G23" s="267">
        <f>$A$23*0.001</f>
        <v>1E-3</v>
      </c>
      <c r="H23" s="267">
        <f>$A$23*0.01</f>
        <v>0.01</v>
      </c>
      <c r="I23" s="101"/>
      <c r="J23" s="101"/>
      <c r="K23" s="101"/>
      <c r="L23" s="101"/>
      <c r="M23" s="101"/>
    </row>
    <row r="24" spans="1:13" x14ac:dyDescent="0.2">
      <c r="A24" s="163">
        <v>1</v>
      </c>
      <c r="B24" s="15" t="s">
        <v>2985</v>
      </c>
      <c r="C24" s="266">
        <f>$A$24*100000000000</f>
        <v>100000000000</v>
      </c>
      <c r="D24" s="266">
        <f>$A$24*100000000</f>
        <v>100000000</v>
      </c>
      <c r="E24" s="266">
        <f>$A$24*100000</f>
        <v>100000</v>
      </c>
      <c r="F24" s="266">
        <f>$A$24*100</f>
        <v>100</v>
      </c>
      <c r="G24" s="266">
        <f>$A$24*0.11</f>
        <v>0.11</v>
      </c>
      <c r="H24" s="266">
        <f>$A$24*0.0001</f>
        <v>1E-4</v>
      </c>
      <c r="I24" s="101"/>
      <c r="J24" s="101"/>
      <c r="K24" s="101"/>
      <c r="L24" s="101"/>
      <c r="M24" s="101"/>
    </row>
    <row r="25" spans="1:13" x14ac:dyDescent="0.2">
      <c r="A25" s="172">
        <v>1</v>
      </c>
      <c r="B25" s="27" t="s">
        <v>2986</v>
      </c>
      <c r="C25" s="267">
        <f>$A$25*100000000000000</f>
        <v>100000000000000</v>
      </c>
      <c r="D25" s="267">
        <f>$A$25*100000000000</f>
        <v>100000000000</v>
      </c>
      <c r="E25" s="267">
        <f>$A$25*100000000</f>
        <v>100000000</v>
      </c>
      <c r="F25" s="267">
        <f>$A$25*100000</f>
        <v>100000</v>
      </c>
      <c r="G25" s="267">
        <f>$A$25*100</f>
        <v>100</v>
      </c>
      <c r="H25" s="267">
        <f>$A$25*0.1</f>
        <v>0.1</v>
      </c>
      <c r="I25" s="101"/>
      <c r="J25" s="101"/>
      <c r="K25" s="101"/>
      <c r="L25" s="101"/>
      <c r="M25" s="101"/>
    </row>
    <row r="26" spans="1:13" ht="13.5" thickBot="1" x14ac:dyDescent="0.25">
      <c r="A26" s="165">
        <v>1</v>
      </c>
      <c r="B26" s="18" t="s">
        <v>2987</v>
      </c>
      <c r="C26" s="266">
        <f>$A$26*100000000000000000</f>
        <v>1E+17</v>
      </c>
      <c r="D26" s="266">
        <f>$A$26*100000000000000</f>
        <v>100000000000000</v>
      </c>
      <c r="E26" s="266">
        <f>$A$26*100000000000</f>
        <v>100000000000</v>
      </c>
      <c r="F26" s="266">
        <f>$A$26*100000000</f>
        <v>100000000</v>
      </c>
      <c r="G26" s="266">
        <f>$A$26*100000</f>
        <v>100000</v>
      </c>
      <c r="H26" s="266">
        <f>$A$26*100</f>
        <v>100</v>
      </c>
      <c r="I26" s="101"/>
      <c r="J26" s="101"/>
      <c r="K26" s="101"/>
      <c r="L26" s="101"/>
      <c r="M26" s="101"/>
    </row>
    <row r="27" spans="1:13" x14ac:dyDescent="0.2">
      <c r="A27" s="171"/>
      <c r="B27" s="19"/>
      <c r="C27" s="119"/>
      <c r="D27" s="119"/>
      <c r="E27" s="119"/>
      <c r="F27" s="119"/>
      <c r="G27" s="119"/>
      <c r="H27" s="101"/>
      <c r="I27" s="101"/>
      <c r="J27" s="101"/>
      <c r="K27" s="101"/>
      <c r="L27" s="101"/>
      <c r="M27" s="101"/>
    </row>
    <row r="28" spans="1:13" ht="13.5" thickBot="1" x14ac:dyDescent="0.25">
      <c r="A28" s="174"/>
      <c r="B28" s="2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  <row r="29" spans="1:13" x14ac:dyDescent="0.2">
      <c r="A29" s="212" t="s">
        <v>125</v>
      </c>
      <c r="B29" s="25"/>
      <c r="C29" s="109" t="s">
        <v>3000</v>
      </c>
      <c r="D29" s="109" t="s">
        <v>3001</v>
      </c>
      <c r="E29" s="109" t="s">
        <v>3002</v>
      </c>
      <c r="F29" s="109" t="s">
        <v>3003</v>
      </c>
      <c r="G29" s="109" t="s">
        <v>3004</v>
      </c>
      <c r="H29" s="110" t="s">
        <v>128</v>
      </c>
      <c r="I29" s="101"/>
      <c r="J29" s="101"/>
      <c r="K29" s="101"/>
      <c r="L29" s="101"/>
      <c r="M29" s="101"/>
    </row>
    <row r="30" spans="1:13" x14ac:dyDescent="0.2">
      <c r="A30" s="172">
        <v>10</v>
      </c>
      <c r="B30" s="27" t="s">
        <v>2994</v>
      </c>
      <c r="C30" s="266">
        <f>$A$30/10</f>
        <v>1</v>
      </c>
      <c r="D30" s="266">
        <f>$A$30*0.0001</f>
        <v>1E-3</v>
      </c>
      <c r="E30" s="266">
        <f>$A$30*0.0000001</f>
        <v>9.9999999999999995E-7</v>
      </c>
      <c r="F30" s="266">
        <f>$A$30*0.0000000001</f>
        <v>1.0000000000000001E-9</v>
      </c>
      <c r="G30" s="266">
        <f>$A$30*0.0000000000001</f>
        <v>9.9999999999999998E-13</v>
      </c>
      <c r="H30" s="266">
        <f>$A$30*0.0000000000000001</f>
        <v>1.0000000000000001E-15</v>
      </c>
    </row>
    <row r="31" spans="1:13" x14ac:dyDescent="0.2">
      <c r="A31" s="163">
        <v>2</v>
      </c>
      <c r="B31" s="15" t="s">
        <v>2995</v>
      </c>
      <c r="C31" s="267">
        <f>$A$31*100</f>
        <v>200</v>
      </c>
      <c r="D31" s="267">
        <f>$A$31*0.1</f>
        <v>0.2</v>
      </c>
      <c r="E31" s="267">
        <f>$A$31*0.0001</f>
        <v>2.0000000000000001E-4</v>
      </c>
      <c r="F31" s="267">
        <f>$A$31*0.0000001</f>
        <v>1.9999999999999999E-7</v>
      </c>
      <c r="G31" s="267">
        <f>$A$31*0.0000000001</f>
        <v>2.0000000000000001E-10</v>
      </c>
      <c r="H31" s="267">
        <f>$A$31*0.0000000000001</f>
        <v>2.0000000000000001E-13</v>
      </c>
      <c r="I31" s="101"/>
      <c r="J31" s="101"/>
      <c r="K31" s="101"/>
      <c r="L31" s="101"/>
      <c r="M31" s="101"/>
    </row>
    <row r="32" spans="1:13" x14ac:dyDescent="0.2">
      <c r="A32" s="172">
        <v>1</v>
      </c>
      <c r="B32" s="27" t="s">
        <v>2996</v>
      </c>
      <c r="C32" s="266">
        <f>$A$32*100000</f>
        <v>100000</v>
      </c>
      <c r="D32" s="266">
        <f>$A$32*100</f>
        <v>100</v>
      </c>
      <c r="E32" s="266">
        <f>$A$32*0.1</f>
        <v>0.1</v>
      </c>
      <c r="F32" s="266">
        <f>$A$32*0.0001</f>
        <v>1E-4</v>
      </c>
      <c r="G32" s="266">
        <f>$A$32*0.0000001</f>
        <v>9.9999999999999995E-8</v>
      </c>
      <c r="H32" s="266">
        <f>$A$32*0.0000000001</f>
        <v>1E-10</v>
      </c>
      <c r="I32" s="101"/>
      <c r="J32" s="101"/>
      <c r="K32" s="101"/>
      <c r="L32" s="101"/>
      <c r="M32" s="101"/>
    </row>
    <row r="33" spans="1:13" x14ac:dyDescent="0.2">
      <c r="A33" s="163">
        <v>2</v>
      </c>
      <c r="B33" s="15" t="s">
        <v>129</v>
      </c>
      <c r="C33" s="267">
        <f>$A$33*1000000</f>
        <v>2000000</v>
      </c>
      <c r="D33" s="267">
        <f>$A$33*1000</f>
        <v>2000</v>
      </c>
      <c r="E33" s="267">
        <f>$A$33*1</f>
        <v>2</v>
      </c>
      <c r="F33" s="267">
        <f>$A$33*0.001</f>
        <v>2E-3</v>
      </c>
      <c r="G33" s="267">
        <f>$A$33*0.000001</f>
        <v>1.9999999999999999E-6</v>
      </c>
      <c r="H33" s="267">
        <f>$A$33*0.000000001</f>
        <v>2.0000000000000001E-9</v>
      </c>
      <c r="I33" s="101"/>
      <c r="J33" s="101"/>
      <c r="K33" s="101"/>
      <c r="L33" s="101"/>
      <c r="M33" s="101"/>
    </row>
    <row r="34" spans="1:13" x14ac:dyDescent="0.2">
      <c r="A34" s="172">
        <v>1</v>
      </c>
      <c r="B34" s="27" t="s">
        <v>2997</v>
      </c>
      <c r="C34" s="266">
        <f>$A$34*100000000</f>
        <v>100000000</v>
      </c>
      <c r="D34" s="266">
        <f>$A$34*100000</f>
        <v>100000</v>
      </c>
      <c r="E34" s="266">
        <f>$A$34*100</f>
        <v>100</v>
      </c>
      <c r="F34" s="266">
        <f>$A$34*0.1</f>
        <v>0.1</v>
      </c>
      <c r="G34" s="266">
        <f>$A$34*0.0001</f>
        <v>1E-4</v>
      </c>
      <c r="H34" s="266">
        <f>$A$34*0.0000001</f>
        <v>9.9999999999999995E-8</v>
      </c>
      <c r="I34" s="101"/>
      <c r="J34" s="101"/>
      <c r="K34" s="101"/>
      <c r="L34" s="101"/>
      <c r="M34" s="101"/>
    </row>
    <row r="35" spans="1:13" ht="13.5" thickBot="1" x14ac:dyDescent="0.25">
      <c r="A35" s="165">
        <v>1</v>
      </c>
      <c r="B35" s="18" t="s">
        <v>2998</v>
      </c>
      <c r="C35" s="267">
        <f>$A$35*100000000000</f>
        <v>100000000000</v>
      </c>
      <c r="D35" s="267">
        <f>$A$35*100000000</f>
        <v>100000000</v>
      </c>
      <c r="E35" s="267">
        <f>$A$35*100000</f>
        <v>100000</v>
      </c>
      <c r="F35" s="267">
        <f>$A$35*100</f>
        <v>100</v>
      </c>
      <c r="G35" s="267">
        <f>$A$35*0.1</f>
        <v>0.1</v>
      </c>
      <c r="H35" s="267">
        <f>$A$35*0.0001</f>
        <v>1E-4</v>
      </c>
      <c r="I35" s="101"/>
      <c r="M35" s="101"/>
    </row>
    <row r="36" spans="1:13" x14ac:dyDescent="0.2">
      <c r="A36" s="166"/>
      <c r="B36" s="19"/>
      <c r="C36" s="119"/>
      <c r="D36" s="119"/>
      <c r="E36" s="119"/>
      <c r="F36" s="119"/>
      <c r="G36" s="119"/>
      <c r="H36" s="119"/>
      <c r="I36" s="101"/>
      <c r="J36" s="101"/>
      <c r="K36" s="101"/>
      <c r="L36" s="101"/>
      <c r="M36" s="101"/>
    </row>
    <row r="37" spans="1:13" ht="13.5" thickBot="1" x14ac:dyDescent="0.25">
      <c r="A37" s="167" t="s">
        <v>130</v>
      </c>
      <c r="B37" s="20"/>
      <c r="C37" s="101"/>
      <c r="D37" s="101"/>
      <c r="E37" s="101"/>
      <c r="F37" s="119"/>
      <c r="G37" s="119"/>
      <c r="H37" s="119"/>
      <c r="I37" s="101"/>
      <c r="J37" s="101"/>
      <c r="K37" s="101"/>
      <c r="L37" s="101"/>
      <c r="M37" s="101"/>
    </row>
    <row r="38" spans="1:13" ht="15.75" x14ac:dyDescent="0.2">
      <c r="A38" s="212" t="s">
        <v>202</v>
      </c>
      <c r="B38" s="255" t="s">
        <v>88</v>
      </c>
      <c r="C38" s="248" t="s">
        <v>131</v>
      </c>
      <c r="D38" s="109" t="s">
        <v>132</v>
      </c>
      <c r="E38" s="110" t="s">
        <v>133</v>
      </c>
      <c r="F38" s="119"/>
      <c r="G38" s="3" t="s">
        <v>202</v>
      </c>
      <c r="H38" s="101"/>
      <c r="I38" s="150" t="s">
        <v>143</v>
      </c>
      <c r="J38" s="101"/>
      <c r="K38" s="101"/>
      <c r="L38" s="101"/>
      <c r="M38" s="101"/>
    </row>
    <row r="39" spans="1:13" ht="15.75" x14ac:dyDescent="0.2">
      <c r="A39" s="247">
        <v>1</v>
      </c>
      <c r="B39" s="251" t="s">
        <v>134</v>
      </c>
      <c r="C39" s="262">
        <f>$A39*0.000001*37000000000000000000</f>
        <v>37000000000000</v>
      </c>
      <c r="D39" s="268">
        <f>$A39*0.000001*37000000000000000</f>
        <v>37000000000</v>
      </c>
      <c r="E39" s="264">
        <f>$A39*0.000001*37000000000000</f>
        <v>37000000</v>
      </c>
      <c r="F39" s="119"/>
      <c r="G39" s="259">
        <v>1</v>
      </c>
      <c r="H39" s="360" t="s">
        <v>145</v>
      </c>
      <c r="I39" s="267">
        <f>G39*0.0000000001*$E$3</f>
        <v>370000</v>
      </c>
      <c r="J39" s="101"/>
      <c r="K39" s="101"/>
      <c r="L39" s="101"/>
      <c r="M39" s="101"/>
    </row>
    <row r="40" spans="1:13" ht="15.75" x14ac:dyDescent="0.2">
      <c r="A40" s="246">
        <v>1</v>
      </c>
      <c r="B40" s="250" t="s">
        <v>135</v>
      </c>
      <c r="C40" s="261">
        <f>$A40*0.000001*3700000000000000000</f>
        <v>3700000000000</v>
      </c>
      <c r="D40" s="269">
        <f>$A40*0.000001*3700000000000000</f>
        <v>3700000000</v>
      </c>
      <c r="E40" s="265">
        <f>$A40*0.000001*3700000000000</f>
        <v>3700000</v>
      </c>
      <c r="F40" s="119"/>
      <c r="G40" s="260">
        <v>4.66</v>
      </c>
      <c r="H40" s="361" t="s">
        <v>147</v>
      </c>
      <c r="I40" s="266">
        <f>G40*0.00000000001*$E$3</f>
        <v>172420</v>
      </c>
      <c r="K40" s="101"/>
      <c r="L40" s="101"/>
      <c r="M40" s="101"/>
    </row>
    <row r="41" spans="1:13" ht="15.75" x14ac:dyDescent="0.2">
      <c r="A41" s="247">
        <v>1</v>
      </c>
      <c r="B41" s="251" t="s">
        <v>136</v>
      </c>
      <c r="C41" s="262">
        <f>$A41*0.000001*370000000000000000</f>
        <v>370000000000</v>
      </c>
      <c r="D41" s="268">
        <f>$A41*0.000001*370000000000000</f>
        <v>370000000</v>
      </c>
      <c r="E41" s="264">
        <f>$A41*0.000001*370000000000</f>
        <v>370000</v>
      </c>
      <c r="F41" s="119"/>
      <c r="G41" s="259">
        <v>1</v>
      </c>
      <c r="H41" s="360" t="s">
        <v>149</v>
      </c>
      <c r="I41" s="267">
        <f>G41*0.000000000001*$E$3</f>
        <v>3700</v>
      </c>
      <c r="K41" s="101"/>
      <c r="L41" s="101"/>
      <c r="M41" s="101"/>
    </row>
    <row r="42" spans="1:13" ht="15.75" x14ac:dyDescent="0.2">
      <c r="A42" s="246">
        <v>1</v>
      </c>
      <c r="B42" s="250" t="s">
        <v>137</v>
      </c>
      <c r="C42" s="261">
        <f>$A42*0.000001*37000000000000000</f>
        <v>37000000000</v>
      </c>
      <c r="D42" s="269">
        <f>$A42*0.000001*37000000000000</f>
        <v>37000000</v>
      </c>
      <c r="E42" s="265">
        <f>$A42*0.000001*37000000000</f>
        <v>37000</v>
      </c>
      <c r="F42" s="119"/>
      <c r="G42" s="260">
        <v>0.01</v>
      </c>
      <c r="H42" s="361" t="s">
        <v>151</v>
      </c>
      <c r="I42" s="266">
        <f>G42*0.0000000000001*$E$3</f>
        <v>3.7</v>
      </c>
      <c r="K42" s="101"/>
      <c r="L42" s="101"/>
      <c r="M42" s="101"/>
    </row>
    <row r="43" spans="1:13" ht="15.75" x14ac:dyDescent="0.2">
      <c r="A43" s="247">
        <v>2.17</v>
      </c>
      <c r="B43" s="251" t="s">
        <v>138</v>
      </c>
      <c r="C43" s="262">
        <f>$A43*0.000001*3700000000000000</f>
        <v>8029000000</v>
      </c>
      <c r="D43" s="268">
        <f>$A43*0.000001*3700000000000</f>
        <v>8029000</v>
      </c>
      <c r="E43" s="264">
        <f>$A43*0.000001*3700000000</f>
        <v>8029</v>
      </c>
      <c r="F43" s="119"/>
      <c r="G43" s="259">
        <v>1</v>
      </c>
      <c r="H43" s="362" t="s">
        <v>153</v>
      </c>
      <c r="I43" s="267">
        <f>G43*0.00000000000001*$E$3</f>
        <v>37</v>
      </c>
      <c r="K43" s="101"/>
      <c r="L43" s="101"/>
      <c r="M43" s="101"/>
    </row>
    <row r="44" spans="1:13" ht="15.75" x14ac:dyDescent="0.2">
      <c r="A44" s="246">
        <v>8.2100000000000009</v>
      </c>
      <c r="B44" s="250" t="s">
        <v>139</v>
      </c>
      <c r="C44" s="261">
        <f>$A44*0.000001*370000000000000</f>
        <v>3037700000.0000005</v>
      </c>
      <c r="D44" s="269">
        <f>$A44*0.000001*370000000000</f>
        <v>3037700.0000000005</v>
      </c>
      <c r="E44" s="265">
        <f>$A44*0.000001*370000000</f>
        <v>3037.7000000000003</v>
      </c>
      <c r="F44" s="119"/>
      <c r="G44" s="101"/>
      <c r="H44" s="101"/>
      <c r="I44" s="101"/>
      <c r="K44" s="101"/>
      <c r="L44" s="101"/>
      <c r="M44" s="101"/>
    </row>
    <row r="45" spans="1:13" ht="15.75" x14ac:dyDescent="0.2">
      <c r="A45" s="247">
        <v>1.81</v>
      </c>
      <c r="B45" s="251" t="s">
        <v>140</v>
      </c>
      <c r="C45" s="262">
        <f>$A45*0.000001*37000000000000</f>
        <v>66970000</v>
      </c>
      <c r="D45" s="268">
        <f>$A45*0.000001*37000000000</f>
        <v>66970</v>
      </c>
      <c r="E45" s="264">
        <f>$A45*0.000001*37000000</f>
        <v>66.97</v>
      </c>
      <c r="F45" s="119"/>
      <c r="I45" s="101"/>
      <c r="J45" s="101"/>
      <c r="K45" s="101"/>
      <c r="L45" s="101"/>
      <c r="M45" s="101"/>
    </row>
    <row r="46" spans="1:13" ht="15.75" x14ac:dyDescent="0.2">
      <c r="A46" s="246">
        <v>1.76</v>
      </c>
      <c r="B46" s="250" t="s">
        <v>142</v>
      </c>
      <c r="C46" s="261">
        <f>$A46*0.000001*3700000000000</f>
        <v>6512000</v>
      </c>
      <c r="D46" s="269">
        <f>$A46*0.000001*3700000000</f>
        <v>6512</v>
      </c>
      <c r="E46" s="265">
        <f>$A46*0.000001*3700000</f>
        <v>6.5119999999999996</v>
      </c>
      <c r="F46" s="101"/>
      <c r="K46" s="101"/>
      <c r="L46" s="101"/>
      <c r="M46" s="101"/>
    </row>
    <row r="47" spans="1:13" ht="15.75" x14ac:dyDescent="0.2">
      <c r="A47" s="247">
        <v>1.76</v>
      </c>
      <c r="B47" s="251" t="s">
        <v>144</v>
      </c>
      <c r="C47" s="262">
        <f>$A47*0.0000001*3700000000000</f>
        <v>651200</v>
      </c>
      <c r="D47" s="268">
        <f>$A47*0.0000001*3700000000</f>
        <v>651.19999999999993</v>
      </c>
      <c r="E47" s="264">
        <f>$A47*0.0000001*3700000</f>
        <v>0.6512</v>
      </c>
    </row>
    <row r="48" spans="1:13" ht="15.75" x14ac:dyDescent="0.2">
      <c r="A48" s="246">
        <v>1.58</v>
      </c>
      <c r="B48" s="250" t="s">
        <v>146</v>
      </c>
      <c r="C48" s="261">
        <f>$A48*0.00000001*3700000000000</f>
        <v>58460.000000000007</v>
      </c>
      <c r="D48" s="269">
        <f>$A48*0.00000001*3700000000</f>
        <v>58.460000000000008</v>
      </c>
      <c r="E48" s="265">
        <f>$A48*0.00000001*3700000</f>
        <v>5.8460000000000012E-2</v>
      </c>
      <c r="F48" s="101"/>
    </row>
    <row r="49" spans="1:13" ht="15.75" x14ac:dyDescent="0.2">
      <c r="A49" s="247">
        <v>6.42</v>
      </c>
      <c r="B49" s="251" t="s">
        <v>148</v>
      </c>
      <c r="C49" s="262">
        <f>$A49*0.000000001*3700000000000</f>
        <v>23754.000000000004</v>
      </c>
      <c r="D49" s="268">
        <f>$A49*0.000000001*3700000000</f>
        <v>23.754000000000001</v>
      </c>
      <c r="E49" s="264">
        <f>$A49*0.000000001*3700000</f>
        <v>2.3754000000000001E-2</v>
      </c>
      <c r="F49" s="101"/>
    </row>
    <row r="50" spans="1:13" ht="15.75" customHeight="1" x14ac:dyDescent="0.2">
      <c r="A50" s="246">
        <v>1</v>
      </c>
      <c r="B50" s="250" t="s">
        <v>150</v>
      </c>
      <c r="C50" s="261">
        <f>$A50*0.0000000001*3700000000000</f>
        <v>370</v>
      </c>
      <c r="D50" s="269">
        <f>$A50*0.0000000001*3700000000</f>
        <v>0.37</v>
      </c>
      <c r="E50" s="265">
        <f>$A50*0.0000000001*3700000</f>
        <v>3.6999999999999999E-4</v>
      </c>
      <c r="F50" s="101"/>
    </row>
    <row r="51" spans="1:13" ht="15.75" x14ac:dyDescent="0.2">
      <c r="A51" s="247">
        <v>1</v>
      </c>
      <c r="B51" s="251" t="s">
        <v>152</v>
      </c>
      <c r="C51" s="262">
        <f>$A51*0.00000000001*3700000000000</f>
        <v>37</v>
      </c>
      <c r="D51" s="268">
        <f>$A51*0.00000000001*3700000000</f>
        <v>3.6999999999999998E-2</v>
      </c>
      <c r="E51" s="264">
        <f>$A51*0.00000000001*3700000</f>
        <v>3.6999999999999998E-5</v>
      </c>
      <c r="F51" s="101"/>
    </row>
    <row r="52" spans="1:13" ht="15.75" x14ac:dyDescent="0.2">
      <c r="A52" s="246">
        <v>1</v>
      </c>
      <c r="B52" s="250" t="s">
        <v>154</v>
      </c>
      <c r="C52" s="261">
        <f>$A52*0.000000000001*3700000000000</f>
        <v>3.6999999999999997</v>
      </c>
      <c r="D52" s="269">
        <f>$A52*0.000000000001*3700000000</f>
        <v>3.6999999999999997E-3</v>
      </c>
      <c r="E52" s="265">
        <f>$A52*0.000000000001*3700000</f>
        <v>3.6999999999999997E-6</v>
      </c>
      <c r="F52" s="101"/>
    </row>
    <row r="53" spans="1:13" ht="16.5" thickBot="1" x14ac:dyDescent="0.25">
      <c r="A53" s="249">
        <v>1</v>
      </c>
      <c r="B53" s="252" t="s">
        <v>155</v>
      </c>
      <c r="C53" s="254">
        <f>$A53*0.0000000000001*3700000000000</f>
        <v>0.37</v>
      </c>
      <c r="D53" s="268">
        <f>$A53*0.0000000000001*3700000000</f>
        <v>3.6999999999999999E-4</v>
      </c>
      <c r="E53" s="253">
        <f>$A53*0.0000000000001*3700000</f>
        <v>3.7E-7</v>
      </c>
      <c r="F53" s="101"/>
      <c r="G53" s="101"/>
      <c r="H53" s="101"/>
      <c r="I53" s="101"/>
    </row>
    <row r="54" spans="1:13" x14ac:dyDescent="0.2">
      <c r="A54" s="167"/>
      <c r="B54" s="20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13" x14ac:dyDescent="0.2">
      <c r="A55" s="256"/>
      <c r="B55" s="257"/>
      <c r="C55" s="258"/>
      <c r="D55" s="258"/>
      <c r="E55" s="258"/>
      <c r="F55" s="258"/>
      <c r="G55" s="101"/>
      <c r="H55" s="101"/>
      <c r="I55" s="101"/>
      <c r="J55" s="101"/>
      <c r="K55" s="101"/>
      <c r="L55" s="101"/>
      <c r="M55" s="101"/>
    </row>
    <row r="56" spans="1:13" ht="13.5" thickBot="1" x14ac:dyDescent="0.25">
      <c r="A56" s="175" t="s">
        <v>3005</v>
      </c>
      <c r="B56" s="28"/>
      <c r="C56" s="120"/>
      <c r="D56" s="120"/>
      <c r="E56" s="120"/>
      <c r="F56" s="120"/>
      <c r="G56" s="120"/>
      <c r="H56" s="120"/>
      <c r="I56" s="101"/>
      <c r="M56" s="101"/>
    </row>
    <row r="57" spans="1:13" x14ac:dyDescent="0.2">
      <c r="A57" s="213" t="s">
        <v>3008</v>
      </c>
      <c r="B57" s="29"/>
      <c r="C57" s="109" t="s">
        <v>2982</v>
      </c>
      <c r="D57" s="109" t="s">
        <v>2983</v>
      </c>
      <c r="E57" s="109" t="s">
        <v>2984</v>
      </c>
      <c r="F57" s="109" t="s">
        <v>2985</v>
      </c>
      <c r="G57" s="109" t="s">
        <v>2986</v>
      </c>
      <c r="H57" s="110" t="s">
        <v>2987</v>
      </c>
      <c r="I57" s="101"/>
      <c r="J57" s="101"/>
      <c r="K57" s="101"/>
      <c r="L57" s="101"/>
      <c r="M57" s="101"/>
    </row>
    <row r="58" spans="1:13" x14ac:dyDescent="0.2">
      <c r="A58" s="163">
        <v>1</v>
      </c>
      <c r="B58" s="267" t="s">
        <v>3009</v>
      </c>
      <c r="C58" s="267">
        <f>A58*10*E2</f>
        <v>8.76</v>
      </c>
      <c r="D58" s="267">
        <f>A58*0.01*E2</f>
        <v>8.7600000000000004E-3</v>
      </c>
      <c r="E58" s="267">
        <f>A58*0.00001*E2</f>
        <v>8.7600000000000008E-6</v>
      </c>
      <c r="F58" s="267">
        <f>A58*0.00000001*E2</f>
        <v>8.7600000000000004E-9</v>
      </c>
      <c r="G58" s="267">
        <f>A58*0.00000000001*E2</f>
        <v>8.759999999999999E-12</v>
      </c>
      <c r="H58" s="267">
        <f>A58*0.00000000000001*E2</f>
        <v>8.7600000000000003E-15</v>
      </c>
      <c r="I58" s="101"/>
      <c r="J58" s="101"/>
      <c r="K58" s="101"/>
      <c r="L58" s="101"/>
      <c r="M58" s="101"/>
    </row>
    <row r="59" spans="1:13" x14ac:dyDescent="0.2">
      <c r="A59" s="172">
        <v>1</v>
      </c>
      <c r="B59" s="266" t="s">
        <v>3010</v>
      </c>
      <c r="C59" s="266">
        <f>A59*10000*E2</f>
        <v>8760</v>
      </c>
      <c r="D59" s="266">
        <f>A59*10*E2</f>
        <v>8.76</v>
      </c>
      <c r="E59" s="266">
        <f>A59*0.01*E2</f>
        <v>8.7600000000000004E-3</v>
      </c>
      <c r="F59" s="266">
        <f>A59*0.00001*E2</f>
        <v>8.7600000000000008E-6</v>
      </c>
      <c r="G59" s="266">
        <f>A59*0.00000001*E2</f>
        <v>8.7600000000000004E-9</v>
      </c>
      <c r="H59" s="266">
        <f>A59*0.00000000001*E2</f>
        <v>8.759999999999999E-12</v>
      </c>
      <c r="I59" s="101"/>
      <c r="J59" s="101"/>
      <c r="K59" s="101"/>
      <c r="L59" s="101"/>
      <c r="M59" s="101"/>
    </row>
    <row r="60" spans="1:13" x14ac:dyDescent="0.2">
      <c r="A60" s="163">
        <v>1</v>
      </c>
      <c r="B60" s="267" t="s">
        <v>3011</v>
      </c>
      <c r="C60" s="267">
        <f>A60*10000000*E2</f>
        <v>8760000</v>
      </c>
      <c r="D60" s="267">
        <f>A60*10000*E2</f>
        <v>8760</v>
      </c>
      <c r="E60" s="267">
        <f>A60*10*E2</f>
        <v>8.76</v>
      </c>
      <c r="F60" s="267">
        <f>A60*0.01*E2</f>
        <v>8.7600000000000004E-3</v>
      </c>
      <c r="G60" s="267">
        <f>A60*0.00001*E2</f>
        <v>8.7600000000000008E-6</v>
      </c>
      <c r="H60" s="267">
        <f>A60*0.00000001*E2</f>
        <v>8.7600000000000004E-9</v>
      </c>
      <c r="I60" s="101"/>
      <c r="J60" s="101"/>
      <c r="K60" s="101"/>
      <c r="L60" s="101"/>
      <c r="M60" s="101"/>
    </row>
    <row r="61" spans="1:13" x14ac:dyDescent="0.2">
      <c r="A61" s="172">
        <v>1</v>
      </c>
      <c r="B61" s="266" t="s">
        <v>3012</v>
      </c>
      <c r="C61" s="266">
        <f>A61*10000000000*E2</f>
        <v>8760000000</v>
      </c>
      <c r="D61" s="266">
        <f>A61*10000000*E2</f>
        <v>8760000</v>
      </c>
      <c r="E61" s="266">
        <f>A61*10000*E2</f>
        <v>8760</v>
      </c>
      <c r="F61" s="266">
        <f>A61*10*E2</f>
        <v>8.76</v>
      </c>
      <c r="G61" s="266">
        <f>A61*0.01*E2</f>
        <v>8.7600000000000004E-3</v>
      </c>
      <c r="H61" s="266">
        <f>A61*0.00001*E2</f>
        <v>8.7600000000000008E-6</v>
      </c>
      <c r="I61" s="101"/>
      <c r="J61" s="101"/>
      <c r="K61" s="101"/>
      <c r="L61" s="101"/>
      <c r="M61" s="101"/>
    </row>
    <row r="62" spans="1:13" ht="13.5" thickBot="1" x14ac:dyDescent="0.25">
      <c r="A62" s="165">
        <v>1</v>
      </c>
      <c r="B62" s="267" t="s">
        <v>3013</v>
      </c>
      <c r="C62" s="267">
        <f>A62*10000000000000*E2</f>
        <v>8760000000000</v>
      </c>
      <c r="D62" s="267">
        <f>A62*10000000000*E2</f>
        <v>8760000000</v>
      </c>
      <c r="E62" s="267">
        <f>A62*10000000*E2</f>
        <v>8760000</v>
      </c>
      <c r="F62" s="267">
        <f>A62*10000*E2</f>
        <v>8760</v>
      </c>
      <c r="G62" s="267">
        <f>A62*10*E2</f>
        <v>8.76</v>
      </c>
      <c r="H62" s="267">
        <f>A62*0.01*E2</f>
        <v>8.7600000000000004E-3</v>
      </c>
      <c r="I62" s="101"/>
      <c r="J62" s="101"/>
      <c r="K62" s="101"/>
      <c r="L62" s="101"/>
      <c r="M62" s="101"/>
    </row>
    <row r="63" spans="1:13" x14ac:dyDescent="0.2">
      <c r="A63" s="167"/>
      <c r="B63" s="2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 x14ac:dyDescent="0.2">
      <c r="A64" s="167"/>
      <c r="B64" s="2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ht="13.5" thickBot="1" x14ac:dyDescent="0.25">
      <c r="A65" s="167"/>
      <c r="B65" s="2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x14ac:dyDescent="0.2">
      <c r="A66" s="213" t="s">
        <v>3008</v>
      </c>
      <c r="B66" s="29"/>
      <c r="C66" s="109" t="s">
        <v>3014</v>
      </c>
      <c r="D66" s="109" t="s">
        <v>3015</v>
      </c>
      <c r="E66" s="109" t="s">
        <v>3016</v>
      </c>
      <c r="F66" s="109" t="s">
        <v>3017</v>
      </c>
      <c r="G66" s="110" t="s">
        <v>3018</v>
      </c>
      <c r="H66" s="101"/>
      <c r="I66" s="101"/>
      <c r="J66" s="101"/>
      <c r="K66" s="101"/>
      <c r="L66" s="101"/>
      <c r="M66" s="101"/>
    </row>
    <row r="67" spans="1:13" x14ac:dyDescent="0.2">
      <c r="A67" s="219">
        <v>1</v>
      </c>
      <c r="B67" s="15" t="s">
        <v>3009</v>
      </c>
      <c r="C67" s="267">
        <f>$A$67*0.000258/1</f>
        <v>2.5799999999999998E-4</v>
      </c>
      <c r="D67" s="267">
        <f>$A$67*0.000258/1000</f>
        <v>2.5800000000000001E-7</v>
      </c>
      <c r="E67" s="267">
        <f>$A$67*0.000258/1000000</f>
        <v>2.5799999999999999E-10</v>
      </c>
      <c r="F67" s="267">
        <f>$A$67*0.000258/1000000000</f>
        <v>2.5799999999999996E-13</v>
      </c>
      <c r="G67" s="267">
        <f>$A$67*0.000258/1000000000000</f>
        <v>2.58E-16</v>
      </c>
      <c r="H67" s="101"/>
      <c r="I67" s="101"/>
      <c r="J67" s="101"/>
      <c r="K67" s="101"/>
      <c r="L67" s="101"/>
      <c r="M67" s="101"/>
    </row>
    <row r="68" spans="1:13" x14ac:dyDescent="0.2">
      <c r="A68" s="220">
        <v>1</v>
      </c>
      <c r="B68" s="27" t="s">
        <v>3010</v>
      </c>
      <c r="C68" s="266">
        <f>$A$68*0.000258*1000</f>
        <v>0.25800000000000001</v>
      </c>
      <c r="D68" s="266">
        <f>$A$68*0.000258</f>
        <v>2.5799999999999998E-4</v>
      </c>
      <c r="E68" s="266">
        <f>$A$68*0.000258/1000</f>
        <v>2.5800000000000001E-7</v>
      </c>
      <c r="F68" s="266">
        <f>$A$68*0.000258/1000000</f>
        <v>2.5799999999999999E-10</v>
      </c>
      <c r="G68" s="266">
        <f>$A$68*0.000258/1000000000</f>
        <v>2.5799999999999996E-13</v>
      </c>
      <c r="H68" s="101"/>
      <c r="I68" s="101"/>
      <c r="J68" s="101"/>
      <c r="K68" s="101"/>
      <c r="L68" s="101"/>
      <c r="M68" s="101"/>
    </row>
    <row r="69" spans="1:13" x14ac:dyDescent="0.2">
      <c r="A69" s="219">
        <v>1</v>
      </c>
      <c r="B69" s="15" t="s">
        <v>3011</v>
      </c>
      <c r="C69" s="267">
        <f>$A$69*0.000258*1000000</f>
        <v>258</v>
      </c>
      <c r="D69" s="267">
        <f>$A$69*0.000258*1000</f>
        <v>0.25800000000000001</v>
      </c>
      <c r="E69" s="267">
        <f>$A$69*0.000258</f>
        <v>2.5799999999999998E-4</v>
      </c>
      <c r="F69" s="267">
        <f>$A$69*0.000258/1000</f>
        <v>2.5800000000000001E-7</v>
      </c>
      <c r="G69" s="267">
        <f>$A$69*0.000258/1000000</f>
        <v>2.5799999999999999E-10</v>
      </c>
      <c r="H69" s="101"/>
      <c r="I69" s="101"/>
      <c r="J69" s="101"/>
      <c r="K69" s="101"/>
      <c r="L69" s="101"/>
      <c r="M69" s="101"/>
    </row>
    <row r="70" spans="1:13" x14ac:dyDescent="0.2">
      <c r="A70" s="220">
        <v>1</v>
      </c>
      <c r="B70" s="27" t="s">
        <v>3012</v>
      </c>
      <c r="C70" s="266">
        <f>$A$70*0.000258*1000000000</f>
        <v>257999.99999999997</v>
      </c>
      <c r="D70" s="266">
        <f>$A$70*0.000258*1000000</f>
        <v>258</v>
      </c>
      <c r="E70" s="266">
        <f>$A$70*0.000258*1000</f>
        <v>0.25800000000000001</v>
      </c>
      <c r="F70" s="266">
        <f>$A$70*0.000258</f>
        <v>2.5799999999999998E-4</v>
      </c>
      <c r="G70" s="266">
        <f>$A$70*0.000258/1000</f>
        <v>2.5800000000000001E-7</v>
      </c>
      <c r="H70" s="101"/>
      <c r="I70" s="101"/>
      <c r="J70" s="101"/>
      <c r="K70" s="101"/>
      <c r="L70" s="101"/>
      <c r="M70" s="101"/>
    </row>
    <row r="71" spans="1:13" ht="13.5" thickBot="1" x14ac:dyDescent="0.25">
      <c r="A71" s="221">
        <v>1</v>
      </c>
      <c r="B71" s="18" t="s">
        <v>3013</v>
      </c>
      <c r="C71" s="267">
        <f>$A$71*0.000258*1000000000000</f>
        <v>257999999.99999997</v>
      </c>
      <c r="D71" s="267">
        <f>$A$71*0.000258*1000000000</f>
        <v>257999.99999999997</v>
      </c>
      <c r="E71" s="267">
        <f>$A$71*0.000258*1000000</f>
        <v>258</v>
      </c>
      <c r="F71" s="267">
        <f>$A$71*0.000258*1000</f>
        <v>0.25800000000000001</v>
      </c>
      <c r="G71" s="267">
        <f>$A$71*0.000258</f>
        <v>2.5799999999999998E-4</v>
      </c>
      <c r="H71" s="101"/>
      <c r="I71" s="101"/>
      <c r="J71" s="101"/>
      <c r="K71" s="101"/>
      <c r="L71" s="101"/>
      <c r="M71" s="101"/>
    </row>
    <row r="72" spans="1:13" x14ac:dyDescent="0.2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</row>
    <row r="73" spans="1:13" x14ac:dyDescent="0.2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 ht="13.5" thickBot="1" x14ac:dyDescent="0.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  <row r="75" spans="1:13" x14ac:dyDescent="0.2">
      <c r="A75" s="213" t="s">
        <v>206</v>
      </c>
      <c r="B75" s="30"/>
      <c r="C75" s="121" t="s">
        <v>3019</v>
      </c>
      <c r="D75" s="121" t="s">
        <v>3020</v>
      </c>
      <c r="E75" s="121" t="s">
        <v>3021</v>
      </c>
      <c r="F75" s="121" t="s">
        <v>3022</v>
      </c>
      <c r="G75" s="121" t="s">
        <v>3023</v>
      </c>
      <c r="H75" s="121" t="s">
        <v>3024</v>
      </c>
      <c r="I75" s="121" t="s">
        <v>3025</v>
      </c>
      <c r="J75" s="121" t="s">
        <v>3026</v>
      </c>
      <c r="K75" s="122" t="s">
        <v>3027</v>
      </c>
      <c r="L75" s="101"/>
      <c r="M75" s="101"/>
    </row>
    <row r="76" spans="1:13" x14ac:dyDescent="0.2">
      <c r="A76" s="163">
        <v>25</v>
      </c>
      <c r="B76" s="31" t="s">
        <v>3028</v>
      </c>
      <c r="C76" s="267">
        <f>A76*37*1000000000000</f>
        <v>925000000000000</v>
      </c>
      <c r="D76" s="267">
        <f>A76*37*1000000000</f>
        <v>925000000000</v>
      </c>
      <c r="E76" s="267">
        <f>A76*37*1000000</f>
        <v>925000000</v>
      </c>
      <c r="F76" s="267">
        <f>A76*37*1000</f>
        <v>925000</v>
      </c>
      <c r="G76" s="267">
        <f>A76*37</f>
        <v>925</v>
      </c>
      <c r="H76" s="267">
        <f>A76*0.037</f>
        <v>0.92499999999999993</v>
      </c>
      <c r="I76" s="267">
        <f>A76*0.000037</f>
        <v>9.2499999999999993E-4</v>
      </c>
      <c r="J76" s="267">
        <f>A76*0.000000037</f>
        <v>9.2500000000000004E-7</v>
      </c>
      <c r="K76" s="267">
        <f>A76*0.000000000037</f>
        <v>9.2500000000000001E-10</v>
      </c>
      <c r="L76" s="101"/>
      <c r="M76" s="101"/>
    </row>
    <row r="77" spans="1:13" x14ac:dyDescent="0.2">
      <c r="A77" s="172">
        <v>1</v>
      </c>
      <c r="B77" s="32" t="s">
        <v>3029</v>
      </c>
      <c r="C77" s="266">
        <f>A77*37*1000000000000000</f>
        <v>3.7E+16</v>
      </c>
      <c r="D77" s="266">
        <f>A77*37*1000000000000</f>
        <v>37000000000000</v>
      </c>
      <c r="E77" s="266">
        <f>A77*37*1000000000</f>
        <v>37000000000</v>
      </c>
      <c r="F77" s="266">
        <f>A77*37*1000000</f>
        <v>37000000</v>
      </c>
      <c r="G77" s="266">
        <f>A77*37*1000</f>
        <v>37000</v>
      </c>
      <c r="H77" s="266">
        <f>A77*37</f>
        <v>37</v>
      </c>
      <c r="I77" s="266">
        <f>A77*0.037</f>
        <v>3.6999999999999998E-2</v>
      </c>
      <c r="J77" s="266">
        <f>A77*0.000037</f>
        <v>3.6999999999999998E-5</v>
      </c>
      <c r="K77" s="266">
        <f>A77*0.000000037</f>
        <v>3.7E-8</v>
      </c>
      <c r="L77" s="101"/>
      <c r="M77" s="101"/>
    </row>
    <row r="78" spans="1:13" x14ac:dyDescent="0.2">
      <c r="A78" s="176">
        <v>1</v>
      </c>
      <c r="B78" s="33" t="s">
        <v>3030</v>
      </c>
      <c r="C78" s="267">
        <f>A78*37*1000000000000000000</f>
        <v>3.7E+19</v>
      </c>
      <c r="D78" s="267">
        <f>A78*37*1000000000000000</f>
        <v>3.7E+16</v>
      </c>
      <c r="E78" s="267">
        <f>A78*37*1000000000000</f>
        <v>37000000000000</v>
      </c>
      <c r="F78" s="267">
        <f>A78*37*1000000000</f>
        <v>37000000000</v>
      </c>
      <c r="G78" s="267">
        <f>A78*37*1000000</f>
        <v>37000000</v>
      </c>
      <c r="H78" s="267">
        <f>A78*37*1000</f>
        <v>37000</v>
      </c>
      <c r="I78" s="267">
        <f>A78*37</f>
        <v>37</v>
      </c>
      <c r="J78" s="267">
        <f>A78*0.037</f>
        <v>3.6999999999999998E-2</v>
      </c>
      <c r="K78" s="267">
        <f>A78*0.000037</f>
        <v>3.6999999999999998E-5</v>
      </c>
      <c r="L78" s="101"/>
      <c r="M78" s="101"/>
    </row>
    <row r="79" spans="1:13" x14ac:dyDescent="0.2">
      <c r="A79" s="172">
        <v>1</v>
      </c>
      <c r="B79" s="32" t="s">
        <v>3031</v>
      </c>
      <c r="C79" s="266">
        <f>A79*37*1E+21</f>
        <v>3.6999999999999998E+22</v>
      </c>
      <c r="D79" s="266">
        <f>A79*37*1000000000000000000</f>
        <v>3.7E+19</v>
      </c>
      <c r="E79" s="266">
        <f>A79*37*1000000000000000</f>
        <v>3.7E+16</v>
      </c>
      <c r="F79" s="266">
        <f>A79*37*1000000000000</f>
        <v>37000000000000</v>
      </c>
      <c r="G79" s="266">
        <f>A79*37000000000</f>
        <v>37000000000</v>
      </c>
      <c r="H79" s="266">
        <f>A79*37000000</f>
        <v>37000000</v>
      </c>
      <c r="I79" s="266">
        <f>A79*37000</f>
        <v>37000</v>
      </c>
      <c r="J79" s="266">
        <f>A79*37</f>
        <v>37</v>
      </c>
      <c r="K79" s="266">
        <f>A79*37/1000</f>
        <v>3.6999999999999998E-2</v>
      </c>
      <c r="L79" s="101"/>
      <c r="M79" s="101"/>
    </row>
    <row r="80" spans="1:13" x14ac:dyDescent="0.2">
      <c r="A80" s="177"/>
      <c r="B80" s="34"/>
      <c r="C80" s="267"/>
      <c r="D80" s="267"/>
      <c r="E80" s="267"/>
      <c r="F80" s="267"/>
      <c r="G80" s="267"/>
      <c r="H80" s="267"/>
      <c r="I80" s="267"/>
      <c r="J80" s="267"/>
      <c r="K80" s="267"/>
      <c r="L80" s="101"/>
      <c r="M80" s="101"/>
    </row>
    <row r="81" spans="1:13" x14ac:dyDescent="0.2">
      <c r="A81" s="178">
        <v>1</v>
      </c>
      <c r="B81" s="33" t="s">
        <v>3032</v>
      </c>
      <c r="C81" s="266">
        <f>A81*37*1000000000*1000000</f>
        <v>3.7E+16</v>
      </c>
      <c r="D81" s="266">
        <f>A81*37*1000000000000</f>
        <v>37000000000000</v>
      </c>
      <c r="E81" s="266">
        <f>A81*37*1000000000</f>
        <v>37000000000</v>
      </c>
      <c r="F81" s="266">
        <f>A81*37*1000000</f>
        <v>37000000</v>
      </c>
      <c r="G81" s="266">
        <f>A81*0.037*1000000</f>
        <v>37000</v>
      </c>
      <c r="H81" s="266">
        <f>A81*0.000037*1000000</f>
        <v>37</v>
      </c>
      <c r="I81" s="266">
        <f>A81*0.037</f>
        <v>3.6999999999999998E-2</v>
      </c>
      <c r="J81" s="266">
        <f>A81*0.000037</f>
        <v>3.6999999999999998E-5</v>
      </c>
      <c r="K81" s="266">
        <f>A81*0.000000037</f>
        <v>3.7E-8</v>
      </c>
      <c r="L81" s="101"/>
      <c r="M81" s="101"/>
    </row>
    <row r="82" spans="1:13" x14ac:dyDescent="0.2">
      <c r="A82" s="172">
        <v>1</v>
      </c>
      <c r="B82" s="32" t="s">
        <v>3033</v>
      </c>
      <c r="C82" s="267">
        <f>A82*37*1000000000000000000</f>
        <v>3.7E+19</v>
      </c>
      <c r="D82" s="267">
        <f>A82*37*1000000000000000</f>
        <v>3.7E+16</v>
      </c>
      <c r="E82" s="267">
        <f>A82*37*1000000000000</f>
        <v>37000000000000</v>
      </c>
      <c r="F82" s="267">
        <f>A82*37*1000000000</f>
        <v>37000000000</v>
      </c>
      <c r="G82" s="267">
        <f>A82*37*1000000</f>
        <v>37000000</v>
      </c>
      <c r="H82" s="267">
        <f>A82*0.037*1000000</f>
        <v>37000</v>
      </c>
      <c r="I82" s="267">
        <f>A82*0.000037*1000000</f>
        <v>37</v>
      </c>
      <c r="J82" s="267">
        <f>A82*0.000000037*1000000</f>
        <v>3.6999999999999998E-2</v>
      </c>
      <c r="K82" s="267">
        <f>A82*0.000000037*1000</f>
        <v>3.6999999999999998E-5</v>
      </c>
      <c r="L82" s="101"/>
      <c r="M82" s="101"/>
    </row>
    <row r="83" spans="1:13" x14ac:dyDescent="0.2">
      <c r="A83" s="176">
        <v>1</v>
      </c>
      <c r="B83" s="33" t="s">
        <v>3034</v>
      </c>
      <c r="C83" s="266">
        <f>A83*37*1E+21</f>
        <v>3.6999999999999998E+22</v>
      </c>
      <c r="D83" s="266">
        <f>A83*37*1000000000000000000</f>
        <v>3.7E+19</v>
      </c>
      <c r="E83" s="266">
        <f>A83*37*1000000000000000</f>
        <v>3.7E+16</v>
      </c>
      <c r="F83" s="266">
        <f>A83*37*1000000000000</f>
        <v>37000000000000</v>
      </c>
      <c r="G83" s="266">
        <f>A83*37*1000000000</f>
        <v>37000000000</v>
      </c>
      <c r="H83" s="266">
        <f>A83*37*1000000</f>
        <v>37000000</v>
      </c>
      <c r="I83" s="266">
        <f>A83*0.037*1000000</f>
        <v>37000</v>
      </c>
      <c r="J83" s="266">
        <f>A83*37/1</f>
        <v>37</v>
      </c>
      <c r="K83" s="266">
        <f>A83*37/1000</f>
        <v>3.6999999999999998E-2</v>
      </c>
      <c r="L83" s="101"/>
      <c r="M83" s="101"/>
    </row>
    <row r="84" spans="1:13" ht="13.5" thickBot="1" x14ac:dyDescent="0.25">
      <c r="A84" s="179">
        <v>1</v>
      </c>
      <c r="B84" s="35" t="s">
        <v>3035</v>
      </c>
      <c r="C84" s="267">
        <f>A84*37*1E+24</f>
        <v>3.6999999999999999E+25</v>
      </c>
      <c r="D84" s="267">
        <f>A84*37*1E+21</f>
        <v>3.6999999999999998E+22</v>
      </c>
      <c r="E84" s="267">
        <f>A84*37*1000000000000000000</f>
        <v>3.7E+19</v>
      </c>
      <c r="F84" s="267">
        <f>A84*37*1000000000000000</f>
        <v>3.7E+16</v>
      </c>
      <c r="G84" s="267">
        <f>A84*37*1000000000000</f>
        <v>37000000000000</v>
      </c>
      <c r="H84" s="267">
        <f>A84*37*1000000000</f>
        <v>37000000000</v>
      </c>
      <c r="I84" s="267">
        <f>A84*37*1000000</f>
        <v>37000000</v>
      </c>
      <c r="J84" s="267">
        <f>A84*0.037*1000000</f>
        <v>37000</v>
      </c>
      <c r="K84" s="267">
        <f>A84*0.037*1000</f>
        <v>37</v>
      </c>
      <c r="L84" s="101"/>
      <c r="M84" s="101"/>
    </row>
    <row r="85" spans="1:13" x14ac:dyDescent="0.2">
      <c r="A85" s="166"/>
      <c r="B85" s="19"/>
      <c r="C85" s="119"/>
      <c r="D85" s="119"/>
      <c r="E85" s="119"/>
      <c r="F85" s="101"/>
      <c r="G85" s="101"/>
      <c r="H85" s="101"/>
      <c r="I85" s="101"/>
      <c r="J85" s="101"/>
      <c r="K85" s="101"/>
      <c r="L85" s="101"/>
      <c r="M85" s="101"/>
    </row>
    <row r="86" spans="1:13" x14ac:dyDescent="0.2">
      <c r="A86" s="166"/>
      <c r="B86" s="19"/>
      <c r="C86" s="119"/>
      <c r="D86" s="119"/>
      <c r="E86" s="119"/>
      <c r="F86" s="101"/>
      <c r="G86" s="101"/>
      <c r="H86" s="101"/>
      <c r="I86" s="101"/>
      <c r="J86" s="101"/>
      <c r="K86" s="101"/>
      <c r="L86" s="101"/>
      <c r="M86" s="101"/>
    </row>
    <row r="87" spans="1:13" ht="13.5" thickBot="1" x14ac:dyDescent="0.25">
      <c r="A87" s="166"/>
      <c r="B87" s="19"/>
      <c r="C87" s="119"/>
      <c r="D87" s="119"/>
      <c r="E87" s="119"/>
      <c r="F87" s="101"/>
      <c r="G87" s="101"/>
      <c r="H87" s="101"/>
      <c r="I87" s="101"/>
      <c r="J87" s="101"/>
      <c r="K87" s="101"/>
      <c r="L87" s="101"/>
      <c r="M87" s="101"/>
    </row>
    <row r="88" spans="1:13" x14ac:dyDescent="0.2">
      <c r="A88" s="214" t="s">
        <v>3036</v>
      </c>
      <c r="B88" s="36"/>
      <c r="C88" s="131" t="s">
        <v>3037</v>
      </c>
      <c r="D88" s="132" t="s">
        <v>3038</v>
      </c>
      <c r="E88" s="132" t="s">
        <v>3039</v>
      </c>
      <c r="F88" s="132" t="s">
        <v>3040</v>
      </c>
      <c r="G88" s="132" t="s">
        <v>3041</v>
      </c>
      <c r="H88" s="132" t="s">
        <v>3042</v>
      </c>
      <c r="I88" s="132" t="s">
        <v>3043</v>
      </c>
      <c r="J88" s="133" t="s">
        <v>3044</v>
      </c>
      <c r="K88" s="101"/>
      <c r="L88" s="101"/>
      <c r="M88" s="101"/>
    </row>
    <row r="89" spans="1:13" x14ac:dyDescent="0.2">
      <c r="A89" s="180">
        <v>30</v>
      </c>
      <c r="B89" s="37" t="s">
        <v>3045</v>
      </c>
      <c r="C89" s="267">
        <f>A89*0.037*1000</f>
        <v>1109.9999999999998</v>
      </c>
      <c r="D89" s="267">
        <f>A89*0.037</f>
        <v>1.1099999999999999</v>
      </c>
      <c r="E89" s="267">
        <f>A89*0.037/1000</f>
        <v>1.1099999999999999E-3</v>
      </c>
      <c r="F89" s="267">
        <f>A89*0.037/1000000</f>
        <v>1.11E-6</v>
      </c>
      <c r="G89" s="267">
        <f>A89*1000*0.037*1000</f>
        <v>1110000</v>
      </c>
      <c r="H89" s="267">
        <f>A89*0.037*1000</f>
        <v>1109.9999999999998</v>
      </c>
      <c r="I89" s="267">
        <f>A89*0.037</f>
        <v>1.1099999999999999</v>
      </c>
      <c r="J89" s="267">
        <f>A89*0.037/1000</f>
        <v>1.1099999999999999E-3</v>
      </c>
      <c r="K89" s="101"/>
      <c r="L89" s="101"/>
      <c r="M89" s="101"/>
    </row>
    <row r="90" spans="1:13" x14ac:dyDescent="0.2">
      <c r="A90" s="181">
        <v>1</v>
      </c>
      <c r="B90" s="38" t="s">
        <v>3046</v>
      </c>
      <c r="C90" s="266">
        <f>A90*1000*0.037*1000</f>
        <v>37000</v>
      </c>
      <c r="D90" s="266">
        <f>A90*0.037*1000</f>
        <v>37</v>
      </c>
      <c r="E90" s="266">
        <f>A90*0.037</f>
        <v>3.6999999999999998E-2</v>
      </c>
      <c r="F90" s="266">
        <f>A90*0.037/1000</f>
        <v>3.6999999999999998E-5</v>
      </c>
      <c r="G90" s="266">
        <f>A90*1000*0.037*1000000</f>
        <v>37000000</v>
      </c>
      <c r="H90" s="266">
        <f>A90*0.037*1000000</f>
        <v>37000</v>
      </c>
      <c r="I90" s="266">
        <f>A90*0.037*1000</f>
        <v>37</v>
      </c>
      <c r="J90" s="266">
        <f>A90*0.037</f>
        <v>3.6999999999999998E-2</v>
      </c>
      <c r="K90" s="101"/>
      <c r="L90" s="101"/>
      <c r="M90" s="101"/>
    </row>
    <row r="91" spans="1:13" s="8" customFormat="1" x14ac:dyDescent="0.2">
      <c r="A91" s="182">
        <v>0.12</v>
      </c>
      <c r="B91" s="39" t="s">
        <v>3047</v>
      </c>
      <c r="C91" s="267">
        <f>A91*1000*0.037*1000000</f>
        <v>4439999.9999999991</v>
      </c>
      <c r="D91" s="267">
        <f>A91*0.037*1000000</f>
        <v>4439.9999999999991</v>
      </c>
      <c r="E91" s="267">
        <f>A91*0.037*1000</f>
        <v>4.4399999999999995</v>
      </c>
      <c r="F91" s="267">
        <f>A91*0.037</f>
        <v>4.4399999999999995E-3</v>
      </c>
      <c r="G91" s="267">
        <f>A91*1000*0.037*1000000000</f>
        <v>4439999999.999999</v>
      </c>
      <c r="H91" s="267">
        <f>A91*0.037*1000000000</f>
        <v>4439999.9999999991</v>
      </c>
      <c r="I91" s="267">
        <f>A91*0.037*1000000</f>
        <v>4439.9999999999991</v>
      </c>
      <c r="J91" s="267">
        <f>A91*0.037*1000</f>
        <v>4.4399999999999995</v>
      </c>
      <c r="K91" s="104"/>
      <c r="L91" s="104"/>
      <c r="M91" s="104"/>
    </row>
    <row r="92" spans="1:13" s="8" customFormat="1" x14ac:dyDescent="0.2">
      <c r="A92" s="181">
        <v>1</v>
      </c>
      <c r="B92" s="38" t="s">
        <v>3048</v>
      </c>
      <c r="C92" s="266">
        <f>A92*1000*0.037*1000000000</f>
        <v>37000000000</v>
      </c>
      <c r="D92" s="266">
        <f>A92*0.037*1000000000</f>
        <v>37000000</v>
      </c>
      <c r="E92" s="266">
        <f>A92*0.037*1000000</f>
        <v>37000</v>
      </c>
      <c r="F92" s="266">
        <f>A92*0.037*1000</f>
        <v>37</v>
      </c>
      <c r="G92" s="266">
        <f>A92*1000*0.037*1000000000000</f>
        <v>37000000000000</v>
      </c>
      <c r="H92" s="266">
        <f>A92*0.037*1000000000000</f>
        <v>37000000000</v>
      </c>
      <c r="I92" s="266">
        <f>A92*0.037*1000000000</f>
        <v>37000000</v>
      </c>
      <c r="J92" s="266">
        <f>A92*0.037*1000000</f>
        <v>37000</v>
      </c>
      <c r="K92" s="104"/>
      <c r="L92" s="104"/>
      <c r="M92" s="104"/>
    </row>
    <row r="93" spans="1:13" x14ac:dyDescent="0.2">
      <c r="A93" s="166"/>
      <c r="B93" s="19"/>
      <c r="C93" s="267"/>
      <c r="D93" s="267"/>
      <c r="E93" s="267"/>
      <c r="F93" s="267"/>
      <c r="G93" s="267"/>
      <c r="H93" s="267"/>
      <c r="I93" s="267"/>
      <c r="J93" s="267"/>
      <c r="K93" s="101"/>
      <c r="L93" s="101"/>
      <c r="M93" s="101"/>
    </row>
    <row r="94" spans="1:13" x14ac:dyDescent="0.2">
      <c r="A94" s="183">
        <v>1</v>
      </c>
      <c r="B94" s="40" t="s">
        <v>3049</v>
      </c>
      <c r="C94" s="266">
        <f>A94*1000*0.037/1000</f>
        <v>3.6999999999999998E-2</v>
      </c>
      <c r="D94" s="266">
        <f>A94*0.037/1000</f>
        <v>3.6999999999999998E-5</v>
      </c>
      <c r="E94" s="266">
        <f>A94*0.037/1000000</f>
        <v>3.7E-8</v>
      </c>
      <c r="F94" s="266">
        <f>A94*0.037/1000000000</f>
        <v>3.6999999999999995E-11</v>
      </c>
      <c r="G94" s="266">
        <f>A94*1000*0.037</f>
        <v>37</v>
      </c>
      <c r="H94" s="266">
        <f>A94*0.037</f>
        <v>3.6999999999999998E-2</v>
      </c>
      <c r="I94" s="266">
        <f>A94*0.037/1000</f>
        <v>3.6999999999999998E-5</v>
      </c>
      <c r="J94" s="266">
        <f>A94*0.037/1000000</f>
        <v>3.7E-8</v>
      </c>
      <c r="K94" s="101"/>
      <c r="L94" s="101"/>
      <c r="M94" s="101"/>
    </row>
    <row r="95" spans="1:13" x14ac:dyDescent="0.2">
      <c r="A95" s="181">
        <v>1</v>
      </c>
      <c r="B95" s="41" t="s">
        <v>3050</v>
      </c>
      <c r="C95" s="267">
        <f>A95*1000*0.037/1</f>
        <v>37</v>
      </c>
      <c r="D95" s="267">
        <f>A95*0.037/1</f>
        <v>3.6999999999999998E-2</v>
      </c>
      <c r="E95" s="267">
        <f>A95*0.037/1000</f>
        <v>3.6999999999999998E-5</v>
      </c>
      <c r="F95" s="267">
        <f>A95*0.037/1000000</f>
        <v>3.7E-8</v>
      </c>
      <c r="G95" s="267">
        <f>A95*1000*0.037*1000</f>
        <v>37000</v>
      </c>
      <c r="H95" s="267">
        <f>A95*0.037*1000</f>
        <v>37</v>
      </c>
      <c r="I95" s="267">
        <f>A95*0.037</f>
        <v>3.6999999999999998E-2</v>
      </c>
      <c r="J95" s="267">
        <f>A95*0.037/1000</f>
        <v>3.6999999999999998E-5</v>
      </c>
      <c r="K95" s="101"/>
      <c r="L95" s="101"/>
      <c r="M95" s="101"/>
    </row>
    <row r="96" spans="1:13" x14ac:dyDescent="0.2">
      <c r="A96" s="180">
        <v>1</v>
      </c>
      <c r="B96" s="40" t="s">
        <v>3051</v>
      </c>
      <c r="C96" s="266">
        <f>A96*1000*0.037*1000</f>
        <v>37000</v>
      </c>
      <c r="D96" s="266">
        <f>A96*0.037*1000</f>
        <v>37</v>
      </c>
      <c r="E96" s="266">
        <f>A96*0.037</f>
        <v>3.6999999999999998E-2</v>
      </c>
      <c r="F96" s="266">
        <f>A96*0.037/1000</f>
        <v>3.6999999999999998E-5</v>
      </c>
      <c r="G96" s="266">
        <f>A96*1000*0.037*1000000</f>
        <v>37000000</v>
      </c>
      <c r="H96" s="266">
        <f>A96*0.037*1000000</f>
        <v>37000</v>
      </c>
      <c r="I96" s="266">
        <f>A96*0.037*1000</f>
        <v>37</v>
      </c>
      <c r="J96" s="266">
        <f>A96*0.037</f>
        <v>3.6999999999999998E-2</v>
      </c>
      <c r="K96" s="101"/>
      <c r="L96" s="101"/>
      <c r="M96" s="101"/>
    </row>
    <row r="97" spans="1:13" x14ac:dyDescent="0.2">
      <c r="A97" s="181">
        <v>1</v>
      </c>
      <c r="B97" s="41" t="s">
        <v>3052</v>
      </c>
      <c r="C97" s="267">
        <f>A97*1000*0.037*1000000</f>
        <v>37000000</v>
      </c>
      <c r="D97" s="267">
        <f>A97*0.037*1000000</f>
        <v>37000</v>
      </c>
      <c r="E97" s="267">
        <f>A97*0.037*1000</f>
        <v>37</v>
      </c>
      <c r="F97" s="267">
        <f>A97*0.037</f>
        <v>3.6999999999999998E-2</v>
      </c>
      <c r="G97" s="267">
        <f>A97*1000*0.037*1000000000</f>
        <v>37000000000</v>
      </c>
      <c r="H97" s="267">
        <f>A97*0.037*1000000000</f>
        <v>37000000</v>
      </c>
      <c r="I97" s="267">
        <f>A97*0.037*1000000</f>
        <v>37000</v>
      </c>
      <c r="J97" s="267">
        <f>A97*0.037*1000</f>
        <v>37</v>
      </c>
      <c r="K97" s="101"/>
      <c r="L97" s="101"/>
      <c r="M97" s="101"/>
    </row>
    <row r="98" spans="1:13" ht="13.5" thickBot="1" x14ac:dyDescent="0.25">
      <c r="A98" s="184">
        <v>1</v>
      </c>
      <c r="B98" s="42" t="s">
        <v>3053</v>
      </c>
      <c r="C98" s="266">
        <f>A98*1000*0.037*1000000000</f>
        <v>37000000000</v>
      </c>
      <c r="D98" s="266">
        <f>A98*0.037*1000000000</f>
        <v>37000000</v>
      </c>
      <c r="E98" s="266">
        <f>A98*0.037*1000000</f>
        <v>37000</v>
      </c>
      <c r="F98" s="266">
        <f>A98*0.037*1000</f>
        <v>37</v>
      </c>
      <c r="G98" s="266">
        <f>A98*1000*0.037*1000000000000</f>
        <v>37000000000000</v>
      </c>
      <c r="H98" s="266">
        <f>A98*0.037*1000000000000</f>
        <v>37000000000</v>
      </c>
      <c r="I98" s="266">
        <f>A98*0.037*1000000000</f>
        <v>37000000</v>
      </c>
      <c r="J98" s="266">
        <f>A98*0.037*1000000</f>
        <v>37000</v>
      </c>
      <c r="K98" s="101"/>
      <c r="L98" s="101"/>
      <c r="M98" s="101"/>
    </row>
    <row r="99" spans="1:13" x14ac:dyDescent="0.2">
      <c r="A99" s="166"/>
      <c r="B99" s="19"/>
      <c r="C99" s="108"/>
      <c r="D99" s="108"/>
      <c r="E99" s="108"/>
      <c r="F99" s="108"/>
      <c r="G99" s="108"/>
      <c r="H99" s="108"/>
      <c r="I99" s="108"/>
      <c r="J99" s="108"/>
      <c r="K99" s="101"/>
      <c r="L99" s="101"/>
      <c r="M99" s="101"/>
    </row>
    <row r="100" spans="1:13" x14ac:dyDescent="0.2">
      <c r="A100" s="166"/>
      <c r="B100" s="19"/>
      <c r="C100" s="108"/>
      <c r="D100" s="108"/>
      <c r="E100" s="108"/>
      <c r="F100" s="108"/>
      <c r="G100" s="108"/>
      <c r="H100" s="108"/>
      <c r="I100" s="108"/>
      <c r="J100" s="108"/>
      <c r="K100" s="101"/>
      <c r="L100" s="101"/>
      <c r="M100" s="101"/>
    </row>
    <row r="101" spans="1:13" ht="13.5" thickBot="1" x14ac:dyDescent="0.25">
      <c r="A101" s="174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 x14ac:dyDescent="0.2">
      <c r="A102" s="214" t="s">
        <v>3036</v>
      </c>
      <c r="B102" s="43"/>
      <c r="C102" s="142" t="s">
        <v>3054</v>
      </c>
      <c r="D102" s="142" t="s">
        <v>3055</v>
      </c>
      <c r="E102" s="142" t="s">
        <v>3056</v>
      </c>
      <c r="F102" s="142" t="s">
        <v>3057</v>
      </c>
      <c r="G102" s="142" t="s">
        <v>3058</v>
      </c>
      <c r="H102" s="142" t="s">
        <v>3059</v>
      </c>
      <c r="I102" s="143" t="s">
        <v>3060</v>
      </c>
      <c r="J102" s="101"/>
      <c r="K102" s="101"/>
      <c r="L102" s="101"/>
      <c r="M102" s="101"/>
    </row>
    <row r="103" spans="1:13" x14ac:dyDescent="0.2">
      <c r="A103" s="183">
        <v>1</v>
      </c>
      <c r="B103" s="44" t="s">
        <v>3061</v>
      </c>
      <c r="C103" s="267">
        <f>A103*40.7855*1000000</f>
        <v>40785500</v>
      </c>
      <c r="D103" s="267">
        <f>A103*40.7855*1000</f>
        <v>40785.5</v>
      </c>
      <c r="E103" s="267">
        <f>A103*40.7855</f>
        <v>40.785499999999999</v>
      </c>
      <c r="F103" s="267">
        <f>A103*40.7855/1000</f>
        <v>4.0785500000000002E-2</v>
      </c>
      <c r="G103" s="267">
        <f>A103*40.7855/1000000</f>
        <v>4.0785499999999998E-5</v>
      </c>
      <c r="H103" s="267">
        <f>A103*40.7855/1000000000</f>
        <v>4.0785499999999998E-8</v>
      </c>
      <c r="I103" s="267">
        <f>A103*40.7855/1000000000000</f>
        <v>4.0785499999999996E-11</v>
      </c>
      <c r="J103" s="101"/>
      <c r="K103" s="101"/>
      <c r="L103" s="101"/>
      <c r="M103" s="101"/>
    </row>
    <row r="104" spans="1:13" s="8" customFormat="1" x14ac:dyDescent="0.2">
      <c r="A104" s="185">
        <v>1</v>
      </c>
      <c r="B104" s="32" t="s">
        <v>3062</v>
      </c>
      <c r="C104" s="266">
        <f>A104*40.7855*1000000000</f>
        <v>40785500000</v>
      </c>
      <c r="D104" s="266">
        <f>A104*40.7855*1000000</f>
        <v>40785500</v>
      </c>
      <c r="E104" s="266">
        <f>A104*40.7855*1000</f>
        <v>40785.5</v>
      </c>
      <c r="F104" s="266">
        <f>A104*40.7855/1</f>
        <v>40.785499999999999</v>
      </c>
      <c r="G104" s="266">
        <f>A104*40.7855/1000</f>
        <v>4.0785500000000002E-2</v>
      </c>
      <c r="H104" s="266">
        <f>A104*40.7855/1000000</f>
        <v>4.0785499999999998E-5</v>
      </c>
      <c r="I104" s="266">
        <f>A104*40.7855/1000000000</f>
        <v>4.0785499999999998E-8</v>
      </c>
      <c r="J104" s="101"/>
      <c r="K104" s="104"/>
      <c r="L104" s="104"/>
      <c r="M104" s="104"/>
    </row>
    <row r="105" spans="1:13" s="8" customFormat="1" x14ac:dyDescent="0.2">
      <c r="A105" s="186">
        <v>1</v>
      </c>
      <c r="B105" s="44" t="s">
        <v>3063</v>
      </c>
      <c r="C105" s="267">
        <f>A105*40.7855*1000000000000</f>
        <v>40785500000000</v>
      </c>
      <c r="D105" s="267">
        <f>A105*40.7855*1000000000</f>
        <v>40785500000</v>
      </c>
      <c r="E105" s="267">
        <f>A105*40.7855*1000000</f>
        <v>40785500</v>
      </c>
      <c r="F105" s="267">
        <f>A105*40.7855*1000</f>
        <v>40785.5</v>
      </c>
      <c r="G105" s="267">
        <f>A105*40.7855/1</f>
        <v>40.785499999999999</v>
      </c>
      <c r="H105" s="267">
        <f>A105*40.7855/1000</f>
        <v>4.0785500000000002E-2</v>
      </c>
      <c r="I105" s="267">
        <f>A105*40.7855/1000000</f>
        <v>4.0785499999999998E-5</v>
      </c>
      <c r="J105" s="101"/>
      <c r="K105" s="104"/>
      <c r="L105" s="104"/>
      <c r="M105" s="104"/>
    </row>
    <row r="106" spans="1:13" s="8" customFormat="1" x14ac:dyDescent="0.2">
      <c r="A106" s="185">
        <v>1</v>
      </c>
      <c r="B106" s="32" t="s">
        <v>3064</v>
      </c>
      <c r="C106" s="266">
        <f>A106*40.7855*1000000000000000</f>
        <v>4.07855E+16</v>
      </c>
      <c r="D106" s="266">
        <f>A106*40.7855*1000000000000</f>
        <v>40785500000000</v>
      </c>
      <c r="E106" s="266">
        <f>A106*40.7855*1000000000</f>
        <v>40785500000</v>
      </c>
      <c r="F106" s="266">
        <f>A106*40.7855*1000000</f>
        <v>40785500</v>
      </c>
      <c r="G106" s="266">
        <f>A106*40.7855*1000</f>
        <v>40785.5</v>
      </c>
      <c r="H106" s="266">
        <f>A106*40.7855</f>
        <v>40.785499999999999</v>
      </c>
      <c r="I106" s="266">
        <f>A106*40.7855/1000</f>
        <v>4.0785500000000002E-2</v>
      </c>
      <c r="J106" s="101"/>
      <c r="K106" s="104"/>
      <c r="L106" s="104"/>
      <c r="M106" s="104"/>
    </row>
    <row r="107" spans="1:13" s="8" customFormat="1" ht="13.5" thickBot="1" x14ac:dyDescent="0.25">
      <c r="A107" s="187">
        <v>1</v>
      </c>
      <c r="B107" s="45" t="s">
        <v>3065</v>
      </c>
      <c r="C107" s="267">
        <f>A107*40.7855*1000000000000000000</f>
        <v>4.07855E+19</v>
      </c>
      <c r="D107" s="267">
        <f>A107*40.7855*1000000000000000</f>
        <v>4.07855E+16</v>
      </c>
      <c r="E107" s="267">
        <f>A107*40.7855*1000000000000</f>
        <v>40785500000000</v>
      </c>
      <c r="F107" s="267">
        <f>A107*40.7855*1000000000</f>
        <v>40785500000</v>
      </c>
      <c r="G107" s="267">
        <f>A107*40.7855*1000000</f>
        <v>40785500</v>
      </c>
      <c r="H107" s="267">
        <f>A107*40.7855*1000</f>
        <v>40785.5</v>
      </c>
      <c r="I107" s="267">
        <f>A107*40.7855*1</f>
        <v>40.785499999999999</v>
      </c>
      <c r="J107" s="101"/>
      <c r="K107" s="104"/>
      <c r="L107" s="104"/>
      <c r="M107" s="104"/>
    </row>
    <row r="108" spans="1:13" x14ac:dyDescent="0.2">
      <c r="A108" s="174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</row>
    <row r="109" spans="1:13" x14ac:dyDescent="0.2">
      <c r="A109" s="175"/>
      <c r="B109" s="2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</row>
    <row r="110" spans="1:13" ht="13.5" thickBot="1" x14ac:dyDescent="0.25">
      <c r="A110" s="175"/>
      <c r="B110" s="2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</row>
    <row r="111" spans="1:13" x14ac:dyDescent="0.2">
      <c r="A111" s="215" t="s">
        <v>3066</v>
      </c>
      <c r="B111" s="46"/>
      <c r="C111" s="146" t="s">
        <v>3067</v>
      </c>
      <c r="D111" s="146" t="s">
        <v>3068</v>
      </c>
      <c r="E111" s="146" t="s">
        <v>3069</v>
      </c>
      <c r="F111" s="146" t="s">
        <v>3070</v>
      </c>
      <c r="G111" s="146" t="s">
        <v>3071</v>
      </c>
      <c r="H111" s="146" t="s">
        <v>3072</v>
      </c>
      <c r="I111" s="110" t="s">
        <v>3073</v>
      </c>
      <c r="J111" s="101"/>
      <c r="K111" s="101"/>
      <c r="L111" s="101"/>
      <c r="M111" s="101"/>
    </row>
    <row r="112" spans="1:13" x14ac:dyDescent="0.2">
      <c r="A112" s="188">
        <v>1</v>
      </c>
      <c r="B112" s="47" t="s">
        <v>3074</v>
      </c>
      <c r="C112" s="267">
        <f>A112*3700000</f>
        <v>3700000</v>
      </c>
      <c r="D112" s="267">
        <f>A112*3700</f>
        <v>3700</v>
      </c>
      <c r="E112" s="267">
        <f>A112*3.7</f>
        <v>3.7</v>
      </c>
      <c r="F112" s="267">
        <f>A112*370000000</f>
        <v>370000000</v>
      </c>
      <c r="G112" s="267">
        <f>A112*370</f>
        <v>370</v>
      </c>
      <c r="H112" s="267">
        <f>A112*0.37</f>
        <v>0.37</v>
      </c>
      <c r="I112" s="267">
        <f>A112*0.00037</f>
        <v>3.6999999999999999E-4</v>
      </c>
      <c r="J112" s="101"/>
      <c r="K112" s="101"/>
      <c r="L112" s="101"/>
      <c r="M112" s="101"/>
    </row>
    <row r="113" spans="1:13" x14ac:dyDescent="0.2">
      <c r="A113" s="189">
        <v>1</v>
      </c>
      <c r="B113" s="48" t="s">
        <v>3075</v>
      </c>
      <c r="C113" s="266">
        <f>A113*3700</f>
        <v>3700</v>
      </c>
      <c r="D113" s="266">
        <f>A113*3.7</f>
        <v>3.7</v>
      </c>
      <c r="E113" s="266">
        <f>A113*0.0037</f>
        <v>3.7000000000000002E-3</v>
      </c>
      <c r="F113" s="266">
        <f>A113*370000</f>
        <v>370000</v>
      </c>
      <c r="G113" s="266">
        <f>A113*0.37</f>
        <v>0.37</v>
      </c>
      <c r="H113" s="266">
        <f>A113*0.00037</f>
        <v>3.6999999999999999E-4</v>
      </c>
      <c r="I113" s="266">
        <f>A113*0.00000037</f>
        <v>3.7E-7</v>
      </c>
      <c r="J113" s="101"/>
      <c r="K113" s="101"/>
      <c r="L113" s="101"/>
      <c r="M113" s="101"/>
    </row>
    <row r="114" spans="1:13" ht="13.5" thickBot="1" x14ac:dyDescent="0.25">
      <c r="A114" s="190">
        <v>1</v>
      </c>
      <c r="B114" s="49" t="s">
        <v>3076</v>
      </c>
      <c r="C114" s="267">
        <f>A114*3.7</f>
        <v>3.7</v>
      </c>
      <c r="D114" s="267">
        <f>A114*0.0037</f>
        <v>3.7000000000000002E-3</v>
      </c>
      <c r="E114" s="267">
        <f>A114*0.0000037</f>
        <v>3.7000000000000002E-6</v>
      </c>
      <c r="F114" s="267">
        <f>A114*370</f>
        <v>370</v>
      </c>
      <c r="G114" s="267">
        <f>A114*0.00037</f>
        <v>3.6999999999999999E-4</v>
      </c>
      <c r="H114" s="267">
        <f>A114*0.00000037</f>
        <v>3.7E-7</v>
      </c>
      <c r="I114" s="267">
        <f>A114*0.00000000037</f>
        <v>3.7000000000000001E-10</v>
      </c>
      <c r="J114" s="101"/>
      <c r="K114" s="101"/>
      <c r="L114" s="101"/>
      <c r="M114" s="101"/>
    </row>
    <row r="115" spans="1:13" x14ac:dyDescent="0.2">
      <c r="A115" s="175"/>
      <c r="B115" s="20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 x14ac:dyDescent="0.2">
      <c r="A116" s="175"/>
      <c r="B116" s="2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 ht="13.5" thickBot="1" x14ac:dyDescent="0.25">
      <c r="A117" s="175"/>
      <c r="B117" s="20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 x14ac:dyDescent="0.2">
      <c r="A118" s="215" t="s">
        <v>3077</v>
      </c>
      <c r="B118" s="46"/>
      <c r="C118" s="146" t="s">
        <v>3067</v>
      </c>
      <c r="D118" s="146" t="s">
        <v>3068</v>
      </c>
      <c r="E118" s="146" t="s">
        <v>3069</v>
      </c>
      <c r="F118" s="146" t="s">
        <v>3078</v>
      </c>
      <c r="G118" s="146" t="s">
        <v>3079</v>
      </c>
      <c r="H118" s="146" t="s">
        <v>3080</v>
      </c>
      <c r="I118" s="146" t="s">
        <v>3081</v>
      </c>
      <c r="J118" s="146" t="s">
        <v>3082</v>
      </c>
      <c r="K118" s="146" t="s">
        <v>3083</v>
      </c>
      <c r="L118" s="110" t="s">
        <v>3084</v>
      </c>
      <c r="M118" s="101"/>
    </row>
    <row r="119" spans="1:13" x14ac:dyDescent="0.2">
      <c r="A119" s="191">
        <v>1</v>
      </c>
      <c r="B119" s="47" t="s">
        <v>3085</v>
      </c>
      <c r="C119" s="267">
        <f>A119*0.01428578</f>
        <v>1.428578E-2</v>
      </c>
      <c r="D119" s="267">
        <f>A119*0.00001428578</f>
        <v>1.428578E-5</v>
      </c>
      <c r="E119" s="267">
        <f>A119*0.00000001428578</f>
        <v>1.4285780000000001E-8</v>
      </c>
      <c r="F119" s="267">
        <f>A119*14285.78</f>
        <v>14285.78</v>
      </c>
      <c r="G119" s="267">
        <f>A119*14.28578</f>
        <v>14.285780000000001</v>
      </c>
      <c r="H119" s="267">
        <f>A119*0.01428578</f>
        <v>1.428578E-2</v>
      </c>
      <c r="I119" s="267">
        <f>A119*0.00001428578</f>
        <v>1.428578E-5</v>
      </c>
      <c r="J119" s="267">
        <f>A119*0.00000001428578</f>
        <v>1.4285780000000001E-8</v>
      </c>
      <c r="K119" s="267">
        <f>A119*0.00000000001428578</f>
        <v>1.428578E-11</v>
      </c>
      <c r="L119" s="267">
        <f>A119*1.428578E-14</f>
        <v>1.4285780000000001E-14</v>
      </c>
      <c r="M119" s="101"/>
    </row>
    <row r="120" spans="1:13" x14ac:dyDescent="0.2">
      <c r="A120" s="192">
        <v>1</v>
      </c>
      <c r="B120" s="48" t="s">
        <v>3086</v>
      </c>
      <c r="C120" s="266">
        <f>A120*0.01428578*1000000</f>
        <v>14285.779999999999</v>
      </c>
      <c r="D120" s="266">
        <f>A120*0.00001428578*1000000</f>
        <v>14.285780000000001</v>
      </c>
      <c r="E120" s="266">
        <f>A120*0.00000001428578*1000000</f>
        <v>1.4285780000000001E-2</v>
      </c>
      <c r="F120" s="266">
        <f>A120*14285.78*1000000</f>
        <v>14285780000</v>
      </c>
      <c r="G120" s="266">
        <f>A120*14.28578*1000000</f>
        <v>14285780</v>
      </c>
      <c r="H120" s="266">
        <f>A120*0.01428578*1000000</f>
        <v>14285.779999999999</v>
      </c>
      <c r="I120" s="266">
        <f>A120*0.00001428578*1000000</f>
        <v>14.285780000000001</v>
      </c>
      <c r="J120" s="266">
        <f>A120*0.00000001428578*1000000</f>
        <v>1.4285780000000001E-2</v>
      </c>
      <c r="K120" s="266">
        <f>A120*0.00000000001428578*1000000</f>
        <v>1.428578E-5</v>
      </c>
      <c r="L120" s="266">
        <f>A120*1.428578E-14*1000000</f>
        <v>1.4285780000000001E-8</v>
      </c>
      <c r="M120" s="101"/>
    </row>
    <row r="121" spans="1:13" x14ac:dyDescent="0.2">
      <c r="A121" s="191">
        <v>1</v>
      </c>
      <c r="B121" s="47" t="s">
        <v>3087</v>
      </c>
      <c r="C121" s="267">
        <f>A121*0.01428578*1000000000</f>
        <v>14285780</v>
      </c>
      <c r="D121" s="267">
        <f>A121*0.00001428578*1000000000</f>
        <v>14285.78</v>
      </c>
      <c r="E121" s="267">
        <f>A121*0.00000001428578*1000000000</f>
        <v>14.285780000000001</v>
      </c>
      <c r="F121" s="267">
        <f>A121*14285.78*1000000000</f>
        <v>14285780000000</v>
      </c>
      <c r="G121" s="267">
        <f>A121*14.28578*1000000000</f>
        <v>14285780000</v>
      </c>
      <c r="H121" s="267">
        <f>A121*0.01428578*1000000000</f>
        <v>14285780</v>
      </c>
      <c r="I121" s="267">
        <f>A121*0.00001428578*1000000000</f>
        <v>14285.78</v>
      </c>
      <c r="J121" s="267">
        <f>A121*0.00000001428578*1000000000</f>
        <v>14.285780000000001</v>
      </c>
      <c r="K121" s="267">
        <f>A121*0.00000000001428578*1000000000</f>
        <v>1.428578E-2</v>
      </c>
      <c r="L121" s="267">
        <f>A121*1.428578E-14*1000000000</f>
        <v>1.428578E-5</v>
      </c>
      <c r="M121" s="101"/>
    </row>
    <row r="122" spans="1:13" ht="13.5" thickBot="1" x14ac:dyDescent="0.25">
      <c r="A122" s="193">
        <v>1</v>
      </c>
      <c r="B122" s="35" t="s">
        <v>3088</v>
      </c>
      <c r="C122" s="266">
        <f>A122*0.01428578*1000000000000</f>
        <v>14285780000</v>
      </c>
      <c r="D122" s="266">
        <f>A122*0.00001428578*1000000000000</f>
        <v>14285780</v>
      </c>
      <c r="E122" s="266">
        <f>A122*0.00000001428578*1000000000000</f>
        <v>14285.78</v>
      </c>
      <c r="F122" s="266">
        <f>A122*14285.78*1000000000000</f>
        <v>1.428578E+16</v>
      </c>
      <c r="G122" s="266">
        <f>A122*14.28578*1000000000000</f>
        <v>14285780000000</v>
      </c>
      <c r="H122" s="266">
        <f>A122*0.01428578*1000000000000</f>
        <v>14285780000</v>
      </c>
      <c r="I122" s="266">
        <f>A122*0.00001428578*1000000000000</f>
        <v>14285780</v>
      </c>
      <c r="J122" s="266">
        <f>A122*0.00000001428578*1000000000000</f>
        <v>14285.78</v>
      </c>
      <c r="K122" s="266">
        <f>A122*0.00000000001428578*1000000000000</f>
        <v>14.285780000000001</v>
      </c>
      <c r="L122" s="266">
        <f>A122*1.428578E-14*1000000000000</f>
        <v>1.4285780000000001E-2</v>
      </c>
      <c r="M122" s="101"/>
    </row>
    <row r="123" spans="1:13" x14ac:dyDescent="0.2">
      <c r="A123" s="194"/>
      <c r="B123" s="2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 x14ac:dyDescent="0.2">
      <c r="A124" s="194"/>
      <c r="B124" s="2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 ht="13.5" thickBot="1" x14ac:dyDescent="0.25">
      <c r="A125" s="194"/>
      <c r="B125" s="16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 x14ac:dyDescent="0.2">
      <c r="A126" s="213" t="s">
        <v>3089</v>
      </c>
      <c r="B126" s="26"/>
      <c r="C126" s="109" t="s">
        <v>299</v>
      </c>
      <c r="D126" s="109" t="s">
        <v>3090</v>
      </c>
      <c r="E126" s="109" t="s">
        <v>294</v>
      </c>
      <c r="F126" s="109" t="s">
        <v>3091</v>
      </c>
      <c r="G126" s="109" t="s">
        <v>3092</v>
      </c>
      <c r="H126" s="109" t="s">
        <v>3093</v>
      </c>
      <c r="I126" s="110" t="s">
        <v>3094</v>
      </c>
      <c r="J126" s="101"/>
      <c r="K126" s="101"/>
      <c r="L126" s="101"/>
      <c r="M126" s="101"/>
    </row>
    <row r="127" spans="1:13" x14ac:dyDescent="0.2">
      <c r="A127" s="195">
        <v>1</v>
      </c>
      <c r="B127" s="50" t="s">
        <v>3095</v>
      </c>
      <c r="C127" s="111">
        <f>A127*28.349523*1000</f>
        <v>28349.523000000001</v>
      </c>
      <c r="D127" s="111">
        <f>A127*28.349523</f>
        <v>28.349523000000001</v>
      </c>
      <c r="E127" s="111">
        <f>A127*28.349523/1000</f>
        <v>2.8349523000000001E-2</v>
      </c>
      <c r="F127" s="111">
        <f>A127*28.349523/1000000</f>
        <v>2.8349523E-5</v>
      </c>
      <c r="G127" s="111">
        <f>A127*28.349523/1000000000</f>
        <v>2.8349523000000003E-8</v>
      </c>
      <c r="H127" s="111">
        <f>A127*28.349523/1000000000000</f>
        <v>2.8349523E-11</v>
      </c>
      <c r="I127" s="112">
        <f>A127*28.349523/1000000000000000</f>
        <v>2.8349523000000001E-14</v>
      </c>
      <c r="J127" s="101"/>
      <c r="K127" s="101"/>
      <c r="L127" s="101"/>
      <c r="M127" s="101"/>
    </row>
    <row r="128" spans="1:13" x14ac:dyDescent="0.2">
      <c r="A128" s="169">
        <v>1</v>
      </c>
      <c r="B128" s="51" t="s">
        <v>3096</v>
      </c>
      <c r="C128" s="113">
        <f>A128*453.59237*1000</f>
        <v>453592.37</v>
      </c>
      <c r="D128" s="113">
        <f>A128*453.59237</f>
        <v>453.59237000000002</v>
      </c>
      <c r="E128" s="113">
        <f>A128*453.59237/1000</f>
        <v>0.45359237000000002</v>
      </c>
      <c r="F128" s="113">
        <f>A128*453.59237/1000000</f>
        <v>4.5359237000000004E-4</v>
      </c>
      <c r="G128" s="113">
        <f>A128*453.59237/1000000000</f>
        <v>4.5359237E-7</v>
      </c>
      <c r="H128" s="113">
        <f>A128*453.59237/1000000000000</f>
        <v>4.5359236999999999E-10</v>
      </c>
      <c r="I128" s="114">
        <f>A128*453.59237/1000000000000000</f>
        <v>4.5359237E-13</v>
      </c>
      <c r="J128" s="101"/>
      <c r="K128" s="101"/>
      <c r="L128" s="101"/>
      <c r="M128" s="101"/>
    </row>
    <row r="129" spans="1:13" x14ac:dyDescent="0.2">
      <c r="A129" s="195">
        <v>1</v>
      </c>
      <c r="B129" s="50" t="s">
        <v>3097</v>
      </c>
      <c r="C129" s="111">
        <f>A129*1000000000</f>
        <v>1000000000</v>
      </c>
      <c r="D129" s="111">
        <f>A129*1000000</f>
        <v>1000000</v>
      </c>
      <c r="E129" s="111">
        <f>A129*1000</f>
        <v>1000</v>
      </c>
      <c r="F129" s="111">
        <f>A129*1</f>
        <v>1</v>
      </c>
      <c r="G129" s="111">
        <f>A129/1000</f>
        <v>1E-3</v>
      </c>
      <c r="H129" s="111">
        <f>A129 /1000000</f>
        <v>9.9999999999999995E-7</v>
      </c>
      <c r="I129" s="112">
        <f>A129/1000000000</f>
        <v>1.0000000000000001E-9</v>
      </c>
      <c r="J129" s="101"/>
      <c r="K129" s="101"/>
      <c r="L129" s="101"/>
      <c r="M129" s="101"/>
    </row>
    <row r="130" spans="1:13" ht="13.5" thickBot="1" x14ac:dyDescent="0.25">
      <c r="A130" s="196">
        <v>1</v>
      </c>
      <c r="B130" s="52" t="s">
        <v>3098</v>
      </c>
      <c r="C130" s="115">
        <f>A130*907.18474*1000000</f>
        <v>907184740</v>
      </c>
      <c r="D130" s="115">
        <f>A130*907.18474*1000</f>
        <v>907184.74</v>
      </c>
      <c r="E130" s="115">
        <f>A130*907.18474</f>
        <v>907.18474000000003</v>
      </c>
      <c r="F130" s="115">
        <f>A130*907.18474/1000</f>
        <v>0.90718474000000004</v>
      </c>
      <c r="G130" s="115">
        <f>A130*907.18474/1000000</f>
        <v>9.0718474000000009E-4</v>
      </c>
      <c r="H130" s="115">
        <f>A130*907.18474/1000000000</f>
        <v>9.0718473999999999E-7</v>
      </c>
      <c r="I130" s="116">
        <f>A130*907.18474/1000000000000</f>
        <v>9.0718473999999999E-10</v>
      </c>
      <c r="J130" s="101"/>
      <c r="K130" s="101"/>
      <c r="L130" s="101"/>
      <c r="M130" s="101"/>
    </row>
    <row r="131" spans="1:13" x14ac:dyDescent="0.2">
      <c r="A131" s="197"/>
      <c r="B131" s="53"/>
      <c r="C131" s="119"/>
      <c r="D131" s="119"/>
      <c r="E131" s="119"/>
      <c r="F131" s="119"/>
      <c r="G131" s="119"/>
      <c r="H131" s="119"/>
      <c r="I131" s="101"/>
      <c r="J131" s="101"/>
      <c r="K131" s="101"/>
      <c r="L131" s="101"/>
      <c r="M131" s="101"/>
    </row>
    <row r="132" spans="1:13" x14ac:dyDescent="0.2">
      <c r="A132" s="175"/>
      <c r="B132" s="16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 ht="13.5" thickBot="1" x14ac:dyDescent="0.25">
      <c r="A133" s="175"/>
      <c r="B133" s="16"/>
      <c r="C133" s="150"/>
      <c r="D133" s="150"/>
      <c r="E133" s="150"/>
      <c r="F133" s="150"/>
      <c r="G133" s="150"/>
      <c r="H133" s="101"/>
      <c r="I133" s="101"/>
      <c r="J133" s="101"/>
      <c r="K133" s="101"/>
      <c r="L133" s="101"/>
      <c r="M133" s="101"/>
    </row>
    <row r="134" spans="1:13" x14ac:dyDescent="0.2">
      <c r="A134" s="215" t="s">
        <v>3099</v>
      </c>
      <c r="B134" s="54" t="s">
        <v>171</v>
      </c>
      <c r="C134" s="109" t="s">
        <v>3100</v>
      </c>
      <c r="D134" s="109" t="s">
        <v>3101</v>
      </c>
      <c r="E134" s="109" t="s">
        <v>3102</v>
      </c>
      <c r="F134" s="109" t="s">
        <v>3103</v>
      </c>
      <c r="G134" s="109" t="s">
        <v>3104</v>
      </c>
      <c r="H134" s="109" t="s">
        <v>3105</v>
      </c>
      <c r="I134" s="109" t="s">
        <v>3106</v>
      </c>
      <c r="J134" s="110" t="s">
        <v>3107</v>
      </c>
      <c r="K134" s="101"/>
      <c r="L134" s="101"/>
      <c r="M134" s="101"/>
    </row>
    <row r="135" spans="1:13" x14ac:dyDescent="0.2">
      <c r="A135" s="188">
        <v>1</v>
      </c>
      <c r="B135" s="55" t="s">
        <v>3108</v>
      </c>
      <c r="C135" s="111">
        <f>A135*471.9474</f>
        <v>471.94740000000002</v>
      </c>
      <c r="D135" s="111">
        <f>A135*471.9474*60</f>
        <v>28316.844000000001</v>
      </c>
      <c r="E135" s="111">
        <f>A135*0.0004719474</f>
        <v>4.7194739999999999E-4</v>
      </c>
      <c r="F135" s="111">
        <f>A135*0.0004719474*60</f>
        <v>2.8316844000000001E-2</v>
      </c>
      <c r="G135" s="111">
        <f>A135*0.0004719474*3600</f>
        <v>1.69901064</v>
      </c>
      <c r="H135" s="111">
        <f>A135*1699.011/3600</f>
        <v>0.47194749999999996</v>
      </c>
      <c r="I135" s="111">
        <f>A135*1699.011/60</f>
        <v>28.316849999999999</v>
      </c>
      <c r="J135" s="151">
        <f>A135*1699.011</f>
        <v>1699.011</v>
      </c>
      <c r="K135" s="101"/>
      <c r="L135" s="101"/>
      <c r="M135" s="101"/>
    </row>
    <row r="136" spans="1:13" x14ac:dyDescent="0.2">
      <c r="A136" s="185">
        <v>1</v>
      </c>
      <c r="B136" s="56" t="s">
        <v>3109</v>
      </c>
      <c r="C136" s="152">
        <f>A136*0.2271247*1000000/3600</f>
        <v>63.09019444444445</v>
      </c>
      <c r="D136" s="152">
        <f>A136*0.2271247*1000000/60</f>
        <v>3785.4116666666669</v>
      </c>
      <c r="E136" s="152">
        <f>A136*0.2271247/3600</f>
        <v>6.3090194444444454E-5</v>
      </c>
      <c r="F136" s="152">
        <f>A136*0.2271247/60</f>
        <v>3.785411666666667E-3</v>
      </c>
      <c r="G136" s="152">
        <f>A136*0.2271247</f>
        <v>0.22712470000000001</v>
      </c>
      <c r="H136" s="152">
        <f>A136*0.0630902</f>
        <v>6.3090199999999999E-2</v>
      </c>
      <c r="I136" s="152">
        <f>A136*0.0630902*60</f>
        <v>3.785412</v>
      </c>
      <c r="J136" s="126">
        <f>A136*0.0630902*3600</f>
        <v>227.12472</v>
      </c>
      <c r="K136" s="101"/>
      <c r="L136" s="101"/>
      <c r="M136" s="101"/>
    </row>
    <row r="137" spans="1:13" ht="13.5" thickBot="1" x14ac:dyDescent="0.25">
      <c r="A137" s="187">
        <v>1</v>
      </c>
      <c r="B137" s="57" t="s">
        <v>3110</v>
      </c>
      <c r="C137" s="153">
        <f>A137*1000/60</f>
        <v>16.666666666666668</v>
      </c>
      <c r="D137" s="153">
        <f>A137*1000</f>
        <v>1000</v>
      </c>
      <c r="E137" s="153">
        <f>A137*1/1000/60</f>
        <v>1.6666666666666667E-5</v>
      </c>
      <c r="F137" s="153">
        <f>A137*1/1000</f>
        <v>1E-3</v>
      </c>
      <c r="G137" s="153">
        <f>A137*60/1000</f>
        <v>0.06</v>
      </c>
      <c r="H137" s="153">
        <f>A137*1/60</f>
        <v>1.6666666666666666E-2</v>
      </c>
      <c r="I137" s="153">
        <f>A137*1</f>
        <v>1</v>
      </c>
      <c r="J137" s="154">
        <f>A137*1*60</f>
        <v>60</v>
      </c>
      <c r="K137" s="101"/>
      <c r="L137" s="101"/>
      <c r="M137" s="101"/>
    </row>
    <row r="138" spans="1:13" x14ac:dyDescent="0.2">
      <c r="A138" s="167"/>
      <c r="B138" s="16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 ht="13.5" thickBot="1" x14ac:dyDescent="0.25">
      <c r="A139" s="175"/>
      <c r="B139" s="16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 x14ac:dyDescent="0.2">
      <c r="A140" s="216" t="s">
        <v>3111</v>
      </c>
      <c r="B140" s="58"/>
      <c r="C140" s="155" t="s">
        <v>3112</v>
      </c>
      <c r="D140" s="155" t="s">
        <v>3113</v>
      </c>
      <c r="E140" s="155" t="s">
        <v>3114</v>
      </c>
      <c r="F140" s="156" t="s">
        <v>3115</v>
      </c>
      <c r="G140" s="157"/>
      <c r="H140" s="157"/>
      <c r="I140" s="157"/>
      <c r="J140" s="101"/>
      <c r="K140" s="101"/>
      <c r="L140" s="101"/>
      <c r="M140" s="101"/>
    </row>
    <row r="141" spans="1:13" x14ac:dyDescent="0.2">
      <c r="A141" s="188">
        <v>1</v>
      </c>
      <c r="B141" s="59" t="s">
        <v>3116</v>
      </c>
      <c r="C141" s="147">
        <f>A141*6.4516</f>
        <v>6.4516</v>
      </c>
      <c r="D141" s="147">
        <f>A141*6.4516/10000</f>
        <v>6.4515999999999998E-4</v>
      </c>
      <c r="E141" s="147"/>
      <c r="F141" s="112"/>
      <c r="G141" s="101"/>
      <c r="H141" s="101"/>
      <c r="I141" s="101"/>
      <c r="J141" s="101"/>
      <c r="K141" s="101"/>
      <c r="L141" s="101"/>
      <c r="M141" s="101"/>
    </row>
    <row r="142" spans="1:13" x14ac:dyDescent="0.2">
      <c r="A142" s="189">
        <v>1</v>
      </c>
      <c r="B142" s="60" t="s">
        <v>3117</v>
      </c>
      <c r="C142" s="148">
        <f>A142*929.0304</f>
        <v>929.03039999999999</v>
      </c>
      <c r="D142" s="148">
        <f>A142*0.09290304</f>
        <v>9.2903040000000006E-2</v>
      </c>
      <c r="E142" s="148">
        <f>A142*0.09290304*0.000001</f>
        <v>9.2903040000000008E-8</v>
      </c>
      <c r="F142" s="114"/>
      <c r="G142" s="101"/>
      <c r="H142" s="101"/>
      <c r="I142" s="101"/>
      <c r="J142" s="101"/>
      <c r="K142" s="101"/>
      <c r="L142" s="101"/>
      <c r="M142" s="101"/>
    </row>
    <row r="143" spans="1:13" x14ac:dyDescent="0.2">
      <c r="A143" s="188">
        <v>1</v>
      </c>
      <c r="B143" s="59" t="s">
        <v>3118</v>
      </c>
      <c r="C143" s="147">
        <f>A143*0.83612736*10000</f>
        <v>8361.2736000000004</v>
      </c>
      <c r="D143" s="147">
        <f>A143*0.83612736</f>
        <v>0.83612735999999999</v>
      </c>
      <c r="E143" s="147">
        <f>A143*0.83612736*0.000001</f>
        <v>8.3612735999999996E-7</v>
      </c>
      <c r="F143" s="112"/>
      <c r="G143" s="101"/>
      <c r="H143" s="101"/>
      <c r="I143" s="101"/>
      <c r="J143" s="101"/>
      <c r="K143" s="101"/>
      <c r="L143" s="101"/>
      <c r="M143" s="101"/>
    </row>
    <row r="144" spans="1:13" x14ac:dyDescent="0.2">
      <c r="A144" s="189">
        <v>1</v>
      </c>
      <c r="B144" s="60" t="s">
        <v>3119</v>
      </c>
      <c r="C144" s="148"/>
      <c r="D144" s="148">
        <f>A144*2589988</f>
        <v>2589988</v>
      </c>
      <c r="E144" s="148">
        <f>A144*2.5899811</f>
        <v>2.5899811000000001</v>
      </c>
      <c r="F144" s="114">
        <f>A144*2.5899811*100</f>
        <v>258.99811</v>
      </c>
      <c r="G144" s="101"/>
      <c r="H144" s="101"/>
      <c r="I144" s="101"/>
      <c r="J144" s="101"/>
      <c r="K144" s="101"/>
      <c r="L144" s="101"/>
      <c r="M144" s="101"/>
    </row>
    <row r="145" spans="1:13" ht="13.5" thickBot="1" x14ac:dyDescent="0.25">
      <c r="A145" s="190">
        <v>1</v>
      </c>
      <c r="B145" s="61" t="s">
        <v>3120</v>
      </c>
      <c r="C145" s="149"/>
      <c r="D145" s="149"/>
      <c r="E145" s="149">
        <f>A145*0.004046856</f>
        <v>4.0468559999999997E-3</v>
      </c>
      <c r="F145" s="118">
        <f>A145*0.40468564</f>
        <v>0.40468564000000001</v>
      </c>
      <c r="G145" s="101"/>
      <c r="H145" s="101"/>
      <c r="I145" s="101"/>
      <c r="J145" s="101"/>
      <c r="K145" s="101"/>
      <c r="L145" s="101"/>
      <c r="M145" s="101"/>
    </row>
    <row r="146" spans="1:13" x14ac:dyDescent="0.2">
      <c r="A146" s="175"/>
      <c r="B146" s="16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 x14ac:dyDescent="0.2">
      <c r="A147" s="174"/>
      <c r="B147" s="16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 ht="13.5" thickBot="1" x14ac:dyDescent="0.25">
      <c r="A148" s="174"/>
      <c r="B148" s="16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 x14ac:dyDescent="0.2">
      <c r="A149" s="211" t="s">
        <v>3121</v>
      </c>
      <c r="B149" s="26"/>
      <c r="C149" s="109" t="s">
        <v>3122</v>
      </c>
      <c r="D149" s="109" t="s">
        <v>3123</v>
      </c>
      <c r="E149" s="110" t="s">
        <v>3124</v>
      </c>
      <c r="F149" s="101"/>
      <c r="G149" s="101"/>
      <c r="H149" s="101"/>
      <c r="I149" s="101"/>
      <c r="J149" s="101"/>
      <c r="K149" s="101"/>
      <c r="L149" s="101"/>
      <c r="M149" s="101"/>
    </row>
    <row r="150" spans="1:13" x14ac:dyDescent="0.2">
      <c r="A150" s="198">
        <v>1</v>
      </c>
      <c r="B150" s="22" t="s">
        <v>3125</v>
      </c>
      <c r="C150" s="111">
        <f>A150*28.41306</f>
        <v>28.413060000000002</v>
      </c>
      <c r="D150" s="111">
        <f>A150*28.41306/1000</f>
        <v>2.841306E-2</v>
      </c>
      <c r="E150" s="112"/>
      <c r="F150" s="101"/>
      <c r="G150" s="101"/>
      <c r="H150" s="101"/>
      <c r="I150" s="101"/>
      <c r="J150" s="101"/>
      <c r="K150" s="101"/>
      <c r="L150" s="101"/>
      <c r="M150" s="101"/>
    </row>
    <row r="151" spans="1:13" x14ac:dyDescent="0.2">
      <c r="A151" s="199">
        <v>1</v>
      </c>
      <c r="B151" s="23" t="s">
        <v>3126</v>
      </c>
      <c r="C151" s="113">
        <f>A151*473.1765</f>
        <v>473.17649999999998</v>
      </c>
      <c r="D151" s="113">
        <f>A151*473.1765/1000</f>
        <v>0.4731765</v>
      </c>
      <c r="E151" s="114"/>
      <c r="F151" s="101"/>
      <c r="G151" s="101"/>
      <c r="H151" s="101"/>
      <c r="I151" s="101"/>
      <c r="J151" s="101"/>
      <c r="K151" s="101"/>
      <c r="L151" s="101"/>
      <c r="M151" s="101"/>
    </row>
    <row r="152" spans="1:13" ht="13.5" thickBot="1" x14ac:dyDescent="0.25">
      <c r="A152" s="198">
        <v>1</v>
      </c>
      <c r="B152" s="22" t="s">
        <v>3127</v>
      </c>
      <c r="C152" s="111">
        <f>A152*946.35295</f>
        <v>946.35294999999996</v>
      </c>
      <c r="D152" s="111">
        <f>A152*946.35295/1000</f>
        <v>0.94635294999999997</v>
      </c>
      <c r="E152" s="116">
        <f>A152/(4*264.1721)</f>
        <v>9.4635277533093012E-4</v>
      </c>
      <c r="F152" s="101"/>
      <c r="G152" s="101"/>
      <c r="H152" s="101"/>
      <c r="I152" s="101"/>
      <c r="J152" s="101"/>
      <c r="K152" s="101"/>
      <c r="L152" s="101"/>
      <c r="M152" s="101"/>
    </row>
    <row r="153" spans="1:13" ht="13.5" thickBot="1" x14ac:dyDescent="0.25">
      <c r="A153" s="200">
        <v>1</v>
      </c>
      <c r="B153" s="24" t="s">
        <v>3128</v>
      </c>
      <c r="C153" s="115">
        <f>A153*3785.412</f>
        <v>3785.4119999999998</v>
      </c>
      <c r="D153" s="115">
        <f>A153*3.785412</f>
        <v>3.785412</v>
      </c>
      <c r="E153" s="116">
        <f>A153/264.1721</f>
        <v>3.7854111013237205E-3</v>
      </c>
      <c r="F153" s="101"/>
      <c r="G153" s="101"/>
      <c r="H153" s="101"/>
      <c r="I153" s="101"/>
      <c r="J153" s="101"/>
      <c r="K153" s="101"/>
      <c r="L153" s="101"/>
      <c r="M153" s="101"/>
    </row>
    <row r="154" spans="1:13" x14ac:dyDescent="0.2">
      <c r="A154" s="174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 x14ac:dyDescent="0.2">
      <c r="A155" s="174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 ht="13.5" thickBot="1" x14ac:dyDescent="0.25">
      <c r="A156" s="174"/>
      <c r="C156" s="101"/>
      <c r="D156" s="101"/>
      <c r="E156" s="158" t="s">
        <v>171</v>
      </c>
      <c r="F156" s="101"/>
      <c r="G156" s="101"/>
      <c r="H156" s="101"/>
      <c r="I156" s="101"/>
      <c r="J156" s="101"/>
      <c r="K156" s="101"/>
      <c r="L156" s="101"/>
      <c r="M156" s="101"/>
    </row>
    <row r="157" spans="1:13" x14ac:dyDescent="0.2">
      <c r="A157" s="217" t="s">
        <v>3129</v>
      </c>
      <c r="B157" s="63"/>
      <c r="C157" s="146" t="s">
        <v>3130</v>
      </c>
      <c r="D157" s="146" t="s">
        <v>3131</v>
      </c>
      <c r="E157" s="146" t="s">
        <v>3124</v>
      </c>
      <c r="F157" s="110" t="s">
        <v>3132</v>
      </c>
      <c r="G157" s="101"/>
      <c r="H157" s="101"/>
      <c r="I157" s="101"/>
      <c r="J157" s="101"/>
      <c r="K157" s="101"/>
      <c r="L157" s="101"/>
      <c r="M157" s="101"/>
    </row>
    <row r="158" spans="1:13" x14ac:dyDescent="0.2">
      <c r="A158" s="201">
        <v>1</v>
      </c>
      <c r="B158" s="64" t="s">
        <v>3133</v>
      </c>
      <c r="C158" s="147">
        <f>A158*16.387064*1000</f>
        <v>16387.063999999998</v>
      </c>
      <c r="D158" s="147">
        <f>A158*16.387064</f>
        <v>16.387063999999999</v>
      </c>
      <c r="E158" s="147">
        <f>A158*0.000016387064</f>
        <v>1.6387063999999999E-5</v>
      </c>
      <c r="F158" s="112"/>
      <c r="G158" s="101"/>
      <c r="H158" s="101"/>
      <c r="I158" s="101"/>
      <c r="J158" s="101"/>
      <c r="K158" s="101"/>
      <c r="L158" s="101"/>
      <c r="M158" s="101"/>
    </row>
    <row r="159" spans="1:13" x14ac:dyDescent="0.2">
      <c r="A159" s="202">
        <v>35</v>
      </c>
      <c r="B159" s="65" t="s">
        <v>3134</v>
      </c>
      <c r="C159" s="148"/>
      <c r="D159" s="148">
        <f>A159*28316.847</f>
        <v>991089.64500000002</v>
      </c>
      <c r="E159" s="148">
        <f>A159*0.028316847</f>
        <v>0.99108964499999996</v>
      </c>
      <c r="F159" s="114">
        <f>A159*0.028316847/1000000000</f>
        <v>9.910896449999999E-10</v>
      </c>
      <c r="G159" s="101"/>
      <c r="H159" s="101"/>
      <c r="I159" s="101"/>
      <c r="J159" s="101"/>
      <c r="K159" s="101"/>
      <c r="L159" s="101"/>
      <c r="M159" s="101"/>
    </row>
    <row r="160" spans="1:13" x14ac:dyDescent="0.2">
      <c r="A160" s="201">
        <v>1</v>
      </c>
      <c r="B160" s="64" t="s">
        <v>3135</v>
      </c>
      <c r="C160" s="147"/>
      <c r="D160" s="147">
        <f>A160*0.76455486*1000000</f>
        <v>764554.86</v>
      </c>
      <c r="E160" s="147">
        <f>A160*0.76455486</f>
        <v>0.76455485999999995</v>
      </c>
      <c r="F160" s="112">
        <f>A160*0.76455486/1000000000</f>
        <v>7.6455485999999995E-10</v>
      </c>
      <c r="G160" s="101"/>
      <c r="H160" s="101"/>
      <c r="I160" s="101"/>
      <c r="J160" s="101"/>
      <c r="K160" s="101"/>
      <c r="L160" s="101"/>
      <c r="M160" s="101"/>
    </row>
    <row r="161" spans="1:13" x14ac:dyDescent="0.2">
      <c r="A161" s="203">
        <v>1</v>
      </c>
      <c r="B161" s="66" t="s">
        <v>3136</v>
      </c>
      <c r="C161" s="125"/>
      <c r="D161" s="125"/>
      <c r="E161" s="125"/>
      <c r="F161" s="126">
        <f>A160*4.168182</f>
        <v>4.1681819999999998</v>
      </c>
      <c r="G161" s="101"/>
      <c r="H161" s="101"/>
      <c r="I161" s="101"/>
      <c r="J161" s="101"/>
      <c r="K161" s="101"/>
      <c r="L161" s="101"/>
      <c r="M161" s="101"/>
    </row>
    <row r="162" spans="1:13" ht="13.5" thickBot="1" x14ac:dyDescent="0.25">
      <c r="A162" s="204">
        <v>1</v>
      </c>
      <c r="B162" s="67" t="s">
        <v>3137</v>
      </c>
      <c r="C162" s="117"/>
      <c r="D162" s="117">
        <f>A162*1000</f>
        <v>1000</v>
      </c>
      <c r="E162" s="117">
        <f>A162*0.001</f>
        <v>1E-3</v>
      </c>
      <c r="F162" s="118">
        <f>A162*0.000000000001</f>
        <v>9.9999999999999998E-13</v>
      </c>
      <c r="G162" s="101"/>
      <c r="H162" s="101"/>
      <c r="I162" s="101"/>
      <c r="J162" s="101"/>
      <c r="K162" s="101"/>
      <c r="L162" s="101"/>
      <c r="M162" s="101"/>
    </row>
    <row r="163" spans="1:13" x14ac:dyDescent="0.2">
      <c r="A163" s="174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 x14ac:dyDescent="0.2">
      <c r="A164" s="174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 ht="13.5" thickBot="1" x14ac:dyDescent="0.25">
      <c r="A165" s="205"/>
      <c r="B165" s="20"/>
      <c r="C165" s="159"/>
      <c r="D165" s="159"/>
      <c r="E165" s="159"/>
      <c r="F165" s="159"/>
      <c r="G165" s="101"/>
      <c r="H165" s="101"/>
      <c r="I165" s="101"/>
      <c r="J165" s="101"/>
      <c r="K165" s="101"/>
      <c r="L165" s="101"/>
      <c r="M165" s="101"/>
    </row>
    <row r="166" spans="1:13" x14ac:dyDescent="0.2">
      <c r="A166" s="213" t="s">
        <v>3138</v>
      </c>
      <c r="B166" s="29"/>
      <c r="C166" s="109" t="s">
        <v>3139</v>
      </c>
      <c r="D166" s="109" t="s">
        <v>3140</v>
      </c>
      <c r="E166" s="109" t="s">
        <v>3141</v>
      </c>
      <c r="F166" s="110" t="s">
        <v>3142</v>
      </c>
      <c r="G166" s="101"/>
      <c r="H166" s="101"/>
      <c r="I166" s="101"/>
      <c r="J166" s="101"/>
      <c r="K166" s="101"/>
      <c r="L166" s="101"/>
      <c r="M166" s="101"/>
    </row>
    <row r="167" spans="1:13" x14ac:dyDescent="0.2">
      <c r="A167" s="163">
        <v>1</v>
      </c>
      <c r="B167" s="15" t="s">
        <v>3143</v>
      </c>
      <c r="C167" s="111">
        <f>A167*25.4</f>
        <v>25.4</v>
      </c>
      <c r="D167" s="111">
        <f>A167*2.54</f>
        <v>2.54</v>
      </c>
      <c r="E167" s="111">
        <f>A167*0.0254</f>
        <v>2.5399999999999999E-2</v>
      </c>
      <c r="F167" s="112">
        <f>A167*0.0000254</f>
        <v>2.5400000000000001E-5</v>
      </c>
      <c r="G167" s="101"/>
      <c r="H167" s="101"/>
      <c r="I167" s="101"/>
      <c r="J167" s="101"/>
      <c r="K167" s="101"/>
      <c r="L167" s="101"/>
      <c r="M167" s="101"/>
    </row>
    <row r="168" spans="1:13" x14ac:dyDescent="0.2">
      <c r="A168" s="172">
        <v>1</v>
      </c>
      <c r="B168" s="27" t="s">
        <v>3144</v>
      </c>
      <c r="C168" s="113">
        <f>A168*304.8</f>
        <v>304.8</v>
      </c>
      <c r="D168" s="113">
        <f>A168*30.48</f>
        <v>30.48</v>
      </c>
      <c r="E168" s="113">
        <f>A168*0.3048</f>
        <v>0.30480000000000002</v>
      </c>
      <c r="F168" s="114">
        <f>A168*0.0003048</f>
        <v>3.0479999999999998E-4</v>
      </c>
      <c r="G168" s="101"/>
      <c r="H168" s="101"/>
      <c r="I168" s="101"/>
      <c r="J168" s="101"/>
      <c r="K168" s="101"/>
      <c r="L168" s="101"/>
      <c r="M168" s="101"/>
    </row>
    <row r="169" spans="1:13" x14ac:dyDescent="0.2">
      <c r="A169" s="163">
        <v>1</v>
      </c>
      <c r="B169" s="15" t="s">
        <v>3145</v>
      </c>
      <c r="C169" s="111">
        <f>A169*914.4</f>
        <v>914.4</v>
      </c>
      <c r="D169" s="111">
        <f>A169*91.44</f>
        <v>91.44</v>
      </c>
      <c r="E169" s="111">
        <f>A169*0.9144</f>
        <v>0.91439999999999999</v>
      </c>
      <c r="F169" s="112">
        <f>A169*0.0009144</f>
        <v>9.144E-4</v>
      </c>
      <c r="G169" s="101"/>
      <c r="H169" s="101"/>
      <c r="I169" s="101"/>
      <c r="J169" s="101"/>
      <c r="K169" s="101"/>
      <c r="L169" s="101"/>
      <c r="M169" s="101"/>
    </row>
    <row r="170" spans="1:13" x14ac:dyDescent="0.2">
      <c r="A170" s="206">
        <v>1</v>
      </c>
      <c r="B170" s="70" t="s">
        <v>3146</v>
      </c>
      <c r="C170" s="152">
        <f>A170*1609344</f>
        <v>1609344</v>
      </c>
      <c r="D170" s="152">
        <f>A170*160934.4</f>
        <v>160934.39999999999</v>
      </c>
      <c r="E170" s="152">
        <f>A170*1609.344</f>
        <v>1609.3440000000001</v>
      </c>
      <c r="F170" s="126">
        <f>A170*1.609344</f>
        <v>1.6093440000000001</v>
      </c>
      <c r="G170" s="101"/>
      <c r="H170" s="101"/>
      <c r="I170" s="101"/>
      <c r="J170" s="101"/>
      <c r="K170" s="101"/>
      <c r="L170" s="101"/>
      <c r="M170" s="101"/>
    </row>
    <row r="171" spans="1:13" ht="13.5" thickBot="1" x14ac:dyDescent="0.25">
      <c r="A171" s="207">
        <v>1</v>
      </c>
      <c r="B171" s="71" t="s">
        <v>3147</v>
      </c>
      <c r="C171" s="160">
        <f>A171*1.852*1000000</f>
        <v>1852000</v>
      </c>
      <c r="D171" s="160">
        <f>A171*1.852*100000</f>
        <v>185200</v>
      </c>
      <c r="E171" s="160">
        <f>A171*1.852*1000</f>
        <v>1852</v>
      </c>
      <c r="F171" s="160">
        <f>A171*1.852</f>
        <v>1.8520000000000001</v>
      </c>
      <c r="G171" s="101"/>
      <c r="H171" s="101"/>
      <c r="I171" s="101"/>
      <c r="J171" s="101"/>
      <c r="K171" s="101"/>
      <c r="L171" s="101"/>
      <c r="M171" s="101"/>
    </row>
    <row r="172" spans="1:13" x14ac:dyDescent="0.2">
      <c r="A172" s="174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 ht="13.5" thickBot="1" x14ac:dyDescent="0.25">
      <c r="A173" s="174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 x14ac:dyDescent="0.2">
      <c r="A174" s="218" t="s">
        <v>3148</v>
      </c>
      <c r="B174" s="72"/>
      <c r="C174" s="121" t="s">
        <v>0</v>
      </c>
      <c r="D174" s="121" t="s">
        <v>1</v>
      </c>
      <c r="E174" s="121" t="s">
        <v>2</v>
      </c>
      <c r="F174" s="121" t="s">
        <v>3</v>
      </c>
      <c r="G174" s="121" t="s">
        <v>4</v>
      </c>
      <c r="H174" s="121" t="s">
        <v>5</v>
      </c>
      <c r="I174" s="121" t="s">
        <v>6</v>
      </c>
      <c r="J174" s="122" t="s">
        <v>7</v>
      </c>
      <c r="K174" s="101"/>
      <c r="L174" s="101"/>
      <c r="M174" s="101"/>
    </row>
    <row r="175" spans="1:13" x14ac:dyDescent="0.2">
      <c r="A175" s="208">
        <v>1</v>
      </c>
      <c r="B175" s="73" t="s">
        <v>8</v>
      </c>
      <c r="C175" s="161">
        <f>A175*4.1868</f>
        <v>4.1867999999999999</v>
      </c>
      <c r="D175" s="161">
        <f>A175*4.1868/1000</f>
        <v>4.1868000000000001E-3</v>
      </c>
      <c r="E175" s="161">
        <f>A175*4.1868/1000000</f>
        <v>4.1867999999999995E-6</v>
      </c>
      <c r="F175" s="161"/>
      <c r="G175" s="161"/>
      <c r="H175" s="161"/>
      <c r="I175" s="161"/>
      <c r="J175" s="162">
        <f>A175</f>
        <v>1</v>
      </c>
      <c r="K175" s="101"/>
      <c r="L175" s="101"/>
      <c r="M175" s="101"/>
    </row>
    <row r="176" spans="1:13" x14ac:dyDescent="0.2">
      <c r="A176" s="203">
        <v>1</v>
      </c>
      <c r="B176" s="66" t="s">
        <v>3</v>
      </c>
      <c r="C176" s="125">
        <f>A176*1.60219E-19</f>
        <v>1.6021899999999999E-19</v>
      </c>
      <c r="D176" s="125">
        <f>A176*1.60219E-19/1000</f>
        <v>1.60219E-22</v>
      </c>
      <c r="E176" s="125">
        <f>A176*1.60219E-19/1000000</f>
        <v>1.6021899999999999E-25</v>
      </c>
      <c r="F176" s="125">
        <f>A176</f>
        <v>1</v>
      </c>
      <c r="G176" s="125">
        <f>A176/1000</f>
        <v>1E-3</v>
      </c>
      <c r="H176" s="125">
        <f>A176/1000000</f>
        <v>9.9999999999999995E-7</v>
      </c>
      <c r="I176" s="125">
        <f>A176*0.00000000000160219</f>
        <v>1.6021900000000001E-12</v>
      </c>
      <c r="J176" s="126"/>
      <c r="K176" s="101"/>
      <c r="L176" s="101"/>
      <c r="M176" s="101"/>
    </row>
    <row r="177" spans="1:13" x14ac:dyDescent="0.2">
      <c r="A177" s="208">
        <v>1</v>
      </c>
      <c r="B177" s="73" t="s">
        <v>9</v>
      </c>
      <c r="C177" s="161">
        <f>A177</f>
        <v>1</v>
      </c>
      <c r="D177" s="161">
        <f>A177/1000</f>
        <v>1E-3</v>
      </c>
      <c r="E177" s="161">
        <f>A177/1000000</f>
        <v>9.9999999999999995E-7</v>
      </c>
      <c r="F177" s="161">
        <f>A177/1.60219E-19</f>
        <v>6.2414570057234166E+18</v>
      </c>
      <c r="G177" s="161">
        <f>A177*0.001/1.60219E-19</f>
        <v>6241457005723417</v>
      </c>
      <c r="H177" s="161">
        <f>C177*0.000001/1.60219E-19</f>
        <v>6241457005723.416</v>
      </c>
      <c r="I177" s="161">
        <f>A177*10000000</f>
        <v>10000000</v>
      </c>
      <c r="J177" s="162">
        <f>A177*0.238846</f>
        <v>0.238846</v>
      </c>
      <c r="K177" s="101"/>
      <c r="L177" s="101"/>
      <c r="M177" s="101"/>
    </row>
    <row r="178" spans="1:13" ht="13.5" thickBot="1" x14ac:dyDescent="0.25">
      <c r="A178" s="209">
        <v>1</v>
      </c>
      <c r="B178" s="74" t="s">
        <v>6</v>
      </c>
      <c r="C178" s="130">
        <f>A178*0.0000001</f>
        <v>9.9999999999999995E-8</v>
      </c>
      <c r="D178" s="130">
        <f>A178*0.0000000001</f>
        <v>1E-10</v>
      </c>
      <c r="E178" s="130">
        <f>A178*0.0000000001</f>
        <v>1E-10</v>
      </c>
      <c r="F178" s="130">
        <f>A178/0.00000000000160219</f>
        <v>624145700572.34155</v>
      </c>
      <c r="G178" s="130">
        <f>A178/1.60219E-15</f>
        <v>624145700572341.62</v>
      </c>
      <c r="H178" s="130">
        <f>A178/1.60219E-15</f>
        <v>624145700572341.62</v>
      </c>
      <c r="I178" s="130">
        <f>A178</f>
        <v>1</v>
      </c>
      <c r="J178" s="116"/>
      <c r="K178" s="101"/>
      <c r="L178" s="101"/>
      <c r="M178" s="101"/>
    </row>
    <row r="179" spans="1:13" x14ac:dyDescent="0.2">
      <c r="B179" s="3"/>
    </row>
    <row r="180" spans="1:13" ht="13.5" thickBot="1" x14ac:dyDescent="0.25"/>
    <row r="181" spans="1:13" ht="13.5" thickBot="1" x14ac:dyDescent="0.25">
      <c r="D181" s="75" t="s">
        <v>10</v>
      </c>
    </row>
    <row r="182" spans="1:13" ht="13.5" thickBot="1" x14ac:dyDescent="0.25">
      <c r="A182" s="76" t="s">
        <v>262</v>
      </c>
      <c r="B182" s="77" t="s">
        <v>11</v>
      </c>
      <c r="C182" s="77" t="s">
        <v>12</v>
      </c>
      <c r="D182" s="78" t="s">
        <v>262</v>
      </c>
      <c r="E182" s="77" t="s">
        <v>11</v>
      </c>
      <c r="F182" s="77" t="s">
        <v>12</v>
      </c>
    </row>
    <row r="183" spans="1:13" x14ac:dyDescent="0.2">
      <c r="A183" s="79">
        <v>1E+18</v>
      </c>
      <c r="B183" s="80" t="s">
        <v>13</v>
      </c>
      <c r="C183" s="80" t="s">
        <v>14</v>
      </c>
      <c r="D183" s="81">
        <v>0.1</v>
      </c>
      <c r="E183" s="80" t="s">
        <v>15</v>
      </c>
      <c r="F183" s="80" t="s">
        <v>16</v>
      </c>
    </row>
    <row r="184" spans="1:13" x14ac:dyDescent="0.2">
      <c r="A184" s="79">
        <v>1000000000000000</v>
      </c>
      <c r="B184" s="80" t="s">
        <v>17</v>
      </c>
      <c r="C184" s="80" t="s">
        <v>18</v>
      </c>
      <c r="D184" s="81">
        <v>0.01</v>
      </c>
      <c r="E184" s="80" t="s">
        <v>19</v>
      </c>
      <c r="F184" s="80" t="s">
        <v>20</v>
      </c>
    </row>
    <row r="185" spans="1:13" x14ac:dyDescent="0.2">
      <c r="A185" s="79">
        <v>1000000000000</v>
      </c>
      <c r="B185" s="80" t="s">
        <v>21</v>
      </c>
      <c r="C185" s="80" t="s">
        <v>22</v>
      </c>
      <c r="D185" s="81">
        <v>1E-3</v>
      </c>
      <c r="E185" s="80" t="s">
        <v>23</v>
      </c>
      <c r="F185" s="80" t="s">
        <v>3141</v>
      </c>
    </row>
    <row r="186" spans="1:13" x14ac:dyDescent="0.2">
      <c r="A186" s="79">
        <v>1000000000</v>
      </c>
      <c r="B186" s="80" t="s">
        <v>24</v>
      </c>
      <c r="C186" s="80" t="s">
        <v>25</v>
      </c>
      <c r="D186" s="81">
        <v>9.9999999999999995E-7</v>
      </c>
      <c r="E186" s="80" t="s">
        <v>26</v>
      </c>
      <c r="F186" s="82" t="s">
        <v>2966</v>
      </c>
    </row>
    <row r="187" spans="1:13" x14ac:dyDescent="0.2">
      <c r="A187" s="79">
        <v>1000000</v>
      </c>
      <c r="B187" s="80" t="s">
        <v>27</v>
      </c>
      <c r="C187" s="80" t="s">
        <v>28</v>
      </c>
      <c r="D187" s="81">
        <v>1.0000000000000001E-9</v>
      </c>
      <c r="E187" s="80" t="s">
        <v>29</v>
      </c>
      <c r="F187" s="80" t="s">
        <v>30</v>
      </c>
    </row>
    <row r="188" spans="1:13" x14ac:dyDescent="0.2">
      <c r="A188" s="79">
        <v>1000</v>
      </c>
      <c r="B188" s="80" t="s">
        <v>31</v>
      </c>
      <c r="C188" s="80" t="s">
        <v>32</v>
      </c>
      <c r="D188" s="81">
        <v>9.9999999999999998E-13</v>
      </c>
      <c r="E188" s="80" t="s">
        <v>33</v>
      </c>
      <c r="F188" s="80" t="s">
        <v>34</v>
      </c>
    </row>
    <row r="189" spans="1:13" x14ac:dyDescent="0.2">
      <c r="A189" s="79">
        <v>100</v>
      </c>
      <c r="B189" s="80" t="s">
        <v>35</v>
      </c>
      <c r="C189" s="80" t="s">
        <v>36</v>
      </c>
      <c r="D189" s="81">
        <v>1.0000000000000001E-15</v>
      </c>
      <c r="E189" s="80" t="s">
        <v>37</v>
      </c>
      <c r="F189" s="80" t="s">
        <v>38</v>
      </c>
    </row>
    <row r="190" spans="1:13" ht="13.5" thickBot="1" x14ac:dyDescent="0.25">
      <c r="A190" s="83">
        <v>10</v>
      </c>
      <c r="B190" s="84" t="s">
        <v>39</v>
      </c>
      <c r="C190" s="84" t="s">
        <v>40</v>
      </c>
      <c r="D190" s="85">
        <v>1.0000000000000001E-18</v>
      </c>
      <c r="E190" s="84" t="s">
        <v>41</v>
      </c>
      <c r="F190" s="84" t="s">
        <v>42</v>
      </c>
    </row>
    <row r="192" spans="1:13" x14ac:dyDescent="0.2">
      <c r="A192" t="s">
        <v>43</v>
      </c>
    </row>
    <row r="194" spans="1:9" ht="13.5" thickBot="1" x14ac:dyDescent="0.25">
      <c r="B194" s="2" t="s">
        <v>44</v>
      </c>
      <c r="C194" s="2" t="s">
        <v>171</v>
      </c>
      <c r="D194" s="2" t="s">
        <v>171</v>
      </c>
    </row>
    <row r="195" spans="1:9" ht="13.5" thickBot="1" x14ac:dyDescent="0.25">
      <c r="A195" s="86" t="s">
        <v>45</v>
      </c>
      <c r="B195" s="87" t="s">
        <v>46</v>
      </c>
      <c r="C195" s="87" t="s">
        <v>172</v>
      </c>
      <c r="D195" s="88" t="s">
        <v>47</v>
      </c>
      <c r="E195" s="88" t="s">
        <v>48</v>
      </c>
      <c r="F195" s="89" t="s">
        <v>49</v>
      </c>
      <c r="G195" s="90" t="s">
        <v>50</v>
      </c>
    </row>
    <row r="196" spans="1:9" x14ac:dyDescent="0.2">
      <c r="A196" s="91" t="s">
        <v>51</v>
      </c>
      <c r="B196" s="92" t="s">
        <v>52</v>
      </c>
      <c r="C196" s="92" t="s">
        <v>3141</v>
      </c>
      <c r="D196" s="7"/>
      <c r="E196" s="7"/>
      <c r="F196" s="7"/>
      <c r="G196" s="62"/>
    </row>
    <row r="197" spans="1:9" x14ac:dyDescent="0.2">
      <c r="A197" s="91" t="s">
        <v>3089</v>
      </c>
      <c r="B197" s="92" t="s">
        <v>53</v>
      </c>
      <c r="C197" s="92" t="s">
        <v>294</v>
      </c>
      <c r="D197" s="7" t="s">
        <v>3090</v>
      </c>
      <c r="E197" s="7"/>
      <c r="F197" s="7"/>
      <c r="G197" s="62"/>
      <c r="I197" s="93"/>
    </row>
    <row r="198" spans="1:9" x14ac:dyDescent="0.2">
      <c r="A198" s="91" t="s">
        <v>54</v>
      </c>
      <c r="B198" s="92" t="s">
        <v>180</v>
      </c>
      <c r="C198" s="92" t="s">
        <v>55</v>
      </c>
      <c r="D198" s="7" t="s">
        <v>56</v>
      </c>
      <c r="E198" s="7"/>
      <c r="F198" s="7"/>
      <c r="G198" s="62"/>
    </row>
    <row r="199" spans="1:9" x14ac:dyDescent="0.2">
      <c r="A199" s="91" t="s">
        <v>57</v>
      </c>
      <c r="B199" s="92" t="s">
        <v>58</v>
      </c>
      <c r="C199" s="92" t="s">
        <v>173</v>
      </c>
      <c r="D199" s="7"/>
      <c r="E199" s="7" t="s">
        <v>59</v>
      </c>
      <c r="F199" s="7"/>
      <c r="G199" s="62"/>
    </row>
    <row r="200" spans="1:9" x14ac:dyDescent="0.2">
      <c r="A200" s="91" t="s">
        <v>60</v>
      </c>
      <c r="B200" s="92" t="s">
        <v>61</v>
      </c>
      <c r="C200" s="92" t="s">
        <v>62</v>
      </c>
      <c r="D200" s="7" t="s">
        <v>63</v>
      </c>
      <c r="E200" s="7"/>
      <c r="F200" s="7"/>
      <c r="G200" s="62"/>
    </row>
    <row r="201" spans="1:9" x14ac:dyDescent="0.2">
      <c r="A201" s="91" t="s">
        <v>64</v>
      </c>
      <c r="B201" s="92" t="s">
        <v>65</v>
      </c>
      <c r="C201" s="92" t="s">
        <v>66</v>
      </c>
      <c r="D201" s="7"/>
      <c r="E201" s="7"/>
      <c r="F201" s="7"/>
      <c r="G201" s="62"/>
    </row>
    <row r="202" spans="1:9" x14ac:dyDescent="0.2">
      <c r="A202" s="91" t="s">
        <v>3148</v>
      </c>
      <c r="B202" s="92" t="s">
        <v>67</v>
      </c>
      <c r="C202" s="92" t="s">
        <v>68</v>
      </c>
      <c r="D202" s="7" t="s">
        <v>69</v>
      </c>
      <c r="E202" s="7" t="s">
        <v>70</v>
      </c>
      <c r="F202" s="7"/>
      <c r="G202" s="62" t="s">
        <v>71</v>
      </c>
    </row>
    <row r="203" spans="1:9" x14ac:dyDescent="0.2">
      <c r="A203" s="91" t="s">
        <v>72</v>
      </c>
      <c r="B203" s="92"/>
      <c r="C203" s="92" t="s">
        <v>73</v>
      </c>
      <c r="D203" s="7" t="s">
        <v>74</v>
      </c>
      <c r="E203" s="7"/>
      <c r="F203" s="7"/>
      <c r="G203" s="62"/>
    </row>
    <row r="204" spans="1:9" x14ac:dyDescent="0.2">
      <c r="A204" s="91" t="s">
        <v>3129</v>
      </c>
      <c r="B204" s="92"/>
      <c r="C204" s="92" t="s">
        <v>75</v>
      </c>
      <c r="D204" s="7"/>
      <c r="E204" s="7"/>
      <c r="F204" s="7"/>
      <c r="G204" s="62"/>
    </row>
    <row r="205" spans="1:9" x14ac:dyDescent="0.2">
      <c r="A205" s="91" t="s">
        <v>76</v>
      </c>
      <c r="B205" s="92" t="s">
        <v>77</v>
      </c>
      <c r="C205" s="92" t="s">
        <v>78</v>
      </c>
      <c r="D205" s="7"/>
      <c r="E205" s="7" t="s">
        <v>79</v>
      </c>
      <c r="F205" s="7"/>
      <c r="G205" s="62"/>
    </row>
    <row r="206" spans="1:9" x14ac:dyDescent="0.2">
      <c r="A206" s="91" t="s">
        <v>80</v>
      </c>
      <c r="B206" s="92" t="s">
        <v>81</v>
      </c>
      <c r="C206" s="92"/>
      <c r="D206" s="7"/>
      <c r="E206" s="7" t="s">
        <v>82</v>
      </c>
      <c r="F206" s="7"/>
      <c r="G206" s="62"/>
    </row>
    <row r="207" spans="1:9" x14ac:dyDescent="0.2">
      <c r="A207" s="91" t="s">
        <v>83</v>
      </c>
      <c r="B207" s="92" t="s">
        <v>84</v>
      </c>
      <c r="C207" s="92" t="s">
        <v>85</v>
      </c>
      <c r="D207" s="7"/>
      <c r="E207" s="7" t="s">
        <v>86</v>
      </c>
      <c r="F207" s="7"/>
      <c r="G207" s="62" t="s">
        <v>87</v>
      </c>
    </row>
    <row r="208" spans="1:9" x14ac:dyDescent="0.2">
      <c r="A208" s="91" t="s">
        <v>88</v>
      </c>
      <c r="B208" s="92" t="s">
        <v>89</v>
      </c>
      <c r="C208" s="92" t="s">
        <v>90</v>
      </c>
      <c r="D208" s="7"/>
      <c r="E208" s="7" t="s">
        <v>91</v>
      </c>
      <c r="F208" s="7"/>
      <c r="G208" s="62" t="s">
        <v>92</v>
      </c>
    </row>
    <row r="209" spans="1:7" x14ac:dyDescent="0.2">
      <c r="A209" s="91" t="s">
        <v>93</v>
      </c>
      <c r="B209" s="92" t="s">
        <v>94</v>
      </c>
      <c r="C209" s="92" t="s">
        <v>95</v>
      </c>
      <c r="D209" s="7"/>
      <c r="E209" s="7" t="s">
        <v>96</v>
      </c>
      <c r="F209" s="7"/>
      <c r="G209" s="62"/>
    </row>
    <row r="210" spans="1:7" x14ac:dyDescent="0.2">
      <c r="A210" s="91" t="s">
        <v>97</v>
      </c>
      <c r="B210" s="92" t="s">
        <v>98</v>
      </c>
      <c r="C210" s="92" t="s">
        <v>99</v>
      </c>
      <c r="D210" s="7"/>
      <c r="E210" s="7" t="s">
        <v>100</v>
      </c>
      <c r="F210" s="7"/>
      <c r="G210" s="62" t="s">
        <v>101</v>
      </c>
    </row>
    <row r="211" spans="1:7" x14ac:dyDescent="0.2">
      <c r="A211" s="91" t="s">
        <v>102</v>
      </c>
      <c r="B211" s="92" t="s">
        <v>103</v>
      </c>
      <c r="C211" s="92" t="s">
        <v>104</v>
      </c>
      <c r="D211" s="7"/>
      <c r="E211" s="7" t="s">
        <v>105</v>
      </c>
      <c r="F211" s="7"/>
      <c r="G211" s="62" t="s">
        <v>106</v>
      </c>
    </row>
    <row r="212" spans="1:7" x14ac:dyDescent="0.2">
      <c r="A212" s="91" t="s">
        <v>107</v>
      </c>
      <c r="B212" s="92" t="s">
        <v>108</v>
      </c>
      <c r="C212" s="92" t="s">
        <v>109</v>
      </c>
      <c r="D212" s="7"/>
      <c r="E212" s="7" t="s">
        <v>110</v>
      </c>
      <c r="F212" s="7"/>
      <c r="G212" s="62"/>
    </row>
    <row r="213" spans="1:7" x14ac:dyDescent="0.2">
      <c r="A213" s="91" t="s">
        <v>111</v>
      </c>
      <c r="B213" s="92" t="s">
        <v>112</v>
      </c>
      <c r="C213" s="94"/>
      <c r="D213" s="7"/>
      <c r="E213" s="7" t="s">
        <v>113</v>
      </c>
      <c r="F213" s="7"/>
      <c r="G213" s="62"/>
    </row>
    <row r="214" spans="1:7" x14ac:dyDescent="0.2">
      <c r="A214" s="91" t="s">
        <v>206</v>
      </c>
      <c r="B214" s="92" t="s">
        <v>114</v>
      </c>
      <c r="C214" s="92" t="s">
        <v>277</v>
      </c>
      <c r="D214" s="7"/>
      <c r="E214" s="7" t="s">
        <v>79</v>
      </c>
      <c r="F214" s="7"/>
      <c r="G214" s="62"/>
    </row>
    <row r="215" spans="1:7" x14ac:dyDescent="0.2">
      <c r="A215" s="91" t="s">
        <v>115</v>
      </c>
      <c r="B215" s="92"/>
      <c r="C215" s="92" t="s">
        <v>116</v>
      </c>
      <c r="D215" s="7"/>
      <c r="E215" s="7" t="s">
        <v>117</v>
      </c>
      <c r="F215" s="7"/>
      <c r="G215" s="62"/>
    </row>
    <row r="216" spans="1:7" x14ac:dyDescent="0.2">
      <c r="A216" s="91" t="s">
        <v>118</v>
      </c>
      <c r="B216" s="92" t="s">
        <v>119</v>
      </c>
      <c r="C216" s="92" t="s">
        <v>2985</v>
      </c>
      <c r="D216" s="7"/>
      <c r="E216" s="7" t="s">
        <v>120</v>
      </c>
      <c r="F216" s="7"/>
      <c r="G216" s="62" t="s">
        <v>121</v>
      </c>
    </row>
    <row r="217" spans="1:7" ht="13.5" thickBot="1" x14ac:dyDescent="0.25">
      <c r="A217" s="95" t="s">
        <v>122</v>
      </c>
      <c r="B217" s="96" t="s">
        <v>123</v>
      </c>
      <c r="C217" s="96" t="s">
        <v>2997</v>
      </c>
      <c r="D217" s="68"/>
      <c r="E217" s="68" t="s">
        <v>120</v>
      </c>
      <c r="F217" s="68"/>
      <c r="G217" s="69" t="s">
        <v>121</v>
      </c>
    </row>
  </sheetData>
  <phoneticPr fontId="0" type="noConversion"/>
  <printOptions gridLines="1" gridLinesSet="0"/>
  <pageMargins left="0.75" right="0.75" top="1" bottom="1" header="0.5" footer="0.5"/>
  <pageSetup orientation="landscape" horizontalDpi="300" verticalDpi="0" copies="0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E5" sqref="E5"/>
    </sheetView>
  </sheetViews>
  <sheetFormatPr defaultRowHeight="12.75" x14ac:dyDescent="0.2"/>
  <cols>
    <col min="1" max="1" width="10.28515625" customWidth="1"/>
    <col min="4" max="4" width="6.85546875" customWidth="1"/>
    <col min="5" max="5" width="14.42578125" customWidth="1"/>
    <col min="6" max="6" width="11.7109375" customWidth="1"/>
    <col min="7" max="7" width="9.85546875" customWidth="1"/>
    <col min="8" max="8" width="10" customWidth="1"/>
    <col min="9" max="9" width="12.42578125" customWidth="1"/>
    <col min="10" max="10" width="13" customWidth="1"/>
    <col min="11" max="11" width="14.5703125" customWidth="1"/>
    <col min="13" max="13" width="11" customWidth="1"/>
    <col min="14" max="14" width="6.5703125" customWidth="1"/>
  </cols>
  <sheetData>
    <row r="1" spans="1:9" x14ac:dyDescent="0.2">
      <c r="A1" s="271" t="s">
        <v>245</v>
      </c>
      <c r="I1" s="97"/>
    </row>
    <row r="2" spans="1:9" x14ac:dyDescent="0.2">
      <c r="A2" s="3" t="s">
        <v>3209</v>
      </c>
      <c r="B2" s="1">
        <v>32874</v>
      </c>
      <c r="E2" s="271" t="str">
        <f>IF(OR('Specific activity'!H9="year",'Specific activity'!H9="years",'Specific activity'!H9="yr"),"year",IF(OR('Specific activity'!H9="days",'Specific activity'!H9="dy",'Specific activity'!H9="day"),"day",IF(OR('Specific activity'!H9="hour",'Specific activity'!H9="hours",'Specific activity'!H9="hr"),"hour",IF(OR('Specific activity'!H9="second",'Specific activity'!H9="s",'Specific activity'!H9="sec"),"sec", IF(OR('Specific activity'!H9="msec",'Specific activity'!H9="ms"),"ms",IF(OR('Specific activity'!H9="usec",'Specific activity'!H9="us"),"us","not valid unit"))))))</f>
        <v>year</v>
      </c>
    </row>
    <row r="3" spans="1:9" x14ac:dyDescent="0.2">
      <c r="B3" s="280" t="s">
        <v>249</v>
      </c>
      <c r="C3">
        <v>31557600</v>
      </c>
      <c r="E3" t="s">
        <v>250</v>
      </c>
      <c r="F3" s="350">
        <f>VLOOKUP(E2,B3:C9,2,B27)</f>
        <v>31557600</v>
      </c>
      <c r="G3" t="s">
        <v>3206</v>
      </c>
    </row>
    <row r="4" spans="1:9" x14ac:dyDescent="0.2">
      <c r="B4" s="280" t="s">
        <v>218</v>
      </c>
      <c r="C4">
        <v>60</v>
      </c>
    </row>
    <row r="5" spans="1:9" x14ac:dyDescent="0.2">
      <c r="B5" s="280" t="s">
        <v>254</v>
      </c>
      <c r="C5">
        <v>3600</v>
      </c>
      <c r="E5" s="232">
        <f>'Specific activity'!C10/100*('Specific activity'!G10*'Specific activity'!B22*'Specific activity'!D70*'Specific activity'!N35)/('Specific activity'!G8*37000000000)</f>
        <v>1131.8471824029384</v>
      </c>
      <c r="F5" s="232" t="s">
        <v>251</v>
      </c>
    </row>
    <row r="6" spans="1:9" x14ac:dyDescent="0.2">
      <c r="B6" s="280" t="s">
        <v>192</v>
      </c>
      <c r="C6">
        <v>86400</v>
      </c>
      <c r="H6" s="6"/>
    </row>
    <row r="7" spans="1:9" x14ac:dyDescent="0.2">
      <c r="B7" s="280" t="s">
        <v>168</v>
      </c>
      <c r="C7">
        <v>1</v>
      </c>
      <c r="H7" s="242"/>
    </row>
    <row r="8" spans="1:9" x14ac:dyDescent="0.2">
      <c r="B8" s="280" t="s">
        <v>184</v>
      </c>
      <c r="C8">
        <f>1/1000</f>
        <v>1E-3</v>
      </c>
      <c r="H8" s="242"/>
    </row>
    <row r="9" spans="1:9" x14ac:dyDescent="0.2">
      <c r="B9" s="280" t="s">
        <v>189</v>
      </c>
      <c r="C9">
        <f>1/1000000</f>
        <v>9.9999999999999995E-7</v>
      </c>
    </row>
    <row r="11" spans="1:9" x14ac:dyDescent="0.2">
      <c r="A11" t="s">
        <v>171</v>
      </c>
    </row>
    <row r="12" spans="1:9" x14ac:dyDescent="0.2">
      <c r="B12" s="2" t="s">
        <v>202</v>
      </c>
      <c r="C12" s="2" t="s">
        <v>262</v>
      </c>
    </row>
    <row r="13" spans="1:9" x14ac:dyDescent="0.2">
      <c r="B13" s="2" t="s">
        <v>171</v>
      </c>
      <c r="C13" s="2" t="s">
        <v>171</v>
      </c>
    </row>
    <row r="14" spans="1:9" x14ac:dyDescent="0.2">
      <c r="B14" s="98" t="s">
        <v>265</v>
      </c>
      <c r="C14" s="4">
        <v>0.37</v>
      </c>
      <c r="E14" s="3" t="s">
        <v>250</v>
      </c>
    </row>
    <row r="15" spans="1:9" x14ac:dyDescent="0.2">
      <c r="B15" s="98" t="s">
        <v>267</v>
      </c>
      <c r="C15" s="4">
        <v>37</v>
      </c>
      <c r="E15" s="350">
        <f>VLOOKUP('Specific activity'!C14,B14:C25,2,B27)</f>
        <v>37000000</v>
      </c>
      <c r="F15" t="s">
        <v>3208</v>
      </c>
    </row>
    <row r="16" spans="1:9" x14ac:dyDescent="0.2">
      <c r="B16" s="98" t="s">
        <v>269</v>
      </c>
      <c r="C16" s="4">
        <v>37000</v>
      </c>
    </row>
    <row r="17" spans="2:9" x14ac:dyDescent="0.2">
      <c r="B17" s="98" t="s">
        <v>207</v>
      </c>
      <c r="C17" s="4">
        <v>37000000</v>
      </c>
      <c r="E17" s="3" t="s">
        <v>250</v>
      </c>
    </row>
    <row r="18" spans="2:9" x14ac:dyDescent="0.2">
      <c r="B18" s="98" t="s">
        <v>251</v>
      </c>
      <c r="C18" s="4">
        <v>37000000000</v>
      </c>
      <c r="E18" s="350">
        <f>VLOOKUP(F5,B14:C25,2,B27)</f>
        <v>37000000000</v>
      </c>
      <c r="F18" t="s">
        <v>3207</v>
      </c>
    </row>
    <row r="19" spans="2:9" x14ac:dyDescent="0.2">
      <c r="B19" s="98" t="s">
        <v>273</v>
      </c>
      <c r="C19" s="4">
        <f>37000000000*1000</f>
        <v>37000000000000</v>
      </c>
    </row>
    <row r="20" spans="2:9" x14ac:dyDescent="0.2">
      <c r="B20" s="98" t="s">
        <v>275</v>
      </c>
      <c r="C20" s="4">
        <v>3.7E+16</v>
      </c>
    </row>
    <row r="21" spans="2:9" x14ac:dyDescent="0.2">
      <c r="B21" s="98" t="s">
        <v>277</v>
      </c>
      <c r="C21">
        <v>1</v>
      </c>
    </row>
    <row r="22" spans="2:9" x14ac:dyDescent="0.2">
      <c r="B22" s="98" t="s">
        <v>279</v>
      </c>
      <c r="C22">
        <v>1000</v>
      </c>
    </row>
    <row r="23" spans="2:9" x14ac:dyDescent="0.2">
      <c r="B23" s="98" t="s">
        <v>281</v>
      </c>
      <c r="C23" s="4">
        <v>1000000</v>
      </c>
      <c r="I23" s="4"/>
    </row>
    <row r="24" spans="2:9" x14ac:dyDescent="0.2">
      <c r="B24" s="98" t="s">
        <v>283</v>
      </c>
      <c r="C24" s="4">
        <v>1000000000</v>
      </c>
    </row>
    <row r="25" spans="2:9" x14ac:dyDescent="0.2">
      <c r="B25" s="98" t="s">
        <v>285</v>
      </c>
      <c r="C25" s="4">
        <v>1E-3</v>
      </c>
    </row>
    <row r="28" spans="2:9" x14ac:dyDescent="0.2">
      <c r="I28" s="4"/>
    </row>
    <row r="33" spans="1:8" x14ac:dyDescent="0.2">
      <c r="B33" s="1"/>
      <c r="E33" s="3"/>
    </row>
    <row r="34" spans="1:8" x14ac:dyDescent="0.2">
      <c r="E34" s="3"/>
    </row>
    <row r="37" spans="1:8" x14ac:dyDescent="0.2">
      <c r="H37" s="6"/>
    </row>
    <row r="41" spans="1:8" x14ac:dyDescent="0.2">
      <c r="A41" s="2"/>
      <c r="B41" s="2"/>
    </row>
    <row r="42" spans="1:8" x14ac:dyDescent="0.2">
      <c r="A42" s="2"/>
      <c r="B42" s="2"/>
    </row>
    <row r="50" spans="1:2" x14ac:dyDescent="0.2">
      <c r="A50" s="2"/>
      <c r="B50" s="2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rowBreaks count="1" manualBreakCount="1">
    <brk id="27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0"/>
  <sheetViews>
    <sheetView workbookViewId="0">
      <selection activeCell="G21" sqref="G21"/>
    </sheetView>
  </sheetViews>
  <sheetFormatPr defaultRowHeight="12.75" x14ac:dyDescent="0.2"/>
  <cols>
    <col min="1" max="1" width="8.42578125" customWidth="1"/>
    <col min="2" max="2" width="12" style="280" customWidth="1"/>
    <col min="3" max="4" width="9.140625" style="280"/>
    <col min="5" max="5" width="4.7109375" style="280" customWidth="1"/>
    <col min="7" max="7" width="10" customWidth="1"/>
  </cols>
  <sheetData>
    <row r="1" spans="1:8" ht="13.5" thickBot="1" x14ac:dyDescent="0.25">
      <c r="A1" s="285" t="s">
        <v>158</v>
      </c>
      <c r="B1" s="286" t="s">
        <v>159</v>
      </c>
      <c r="C1" s="286" t="s">
        <v>160</v>
      </c>
      <c r="D1" s="286" t="s">
        <v>161</v>
      </c>
      <c r="E1" s="286" t="s">
        <v>162</v>
      </c>
    </row>
    <row r="2" spans="1:8" x14ac:dyDescent="0.2">
      <c r="A2" s="283" t="s">
        <v>164</v>
      </c>
      <c r="B2" s="297">
        <v>227.02780000000001</v>
      </c>
      <c r="C2" s="284">
        <v>0</v>
      </c>
      <c r="D2" s="284">
        <v>0</v>
      </c>
      <c r="E2" s="284">
        <v>89</v>
      </c>
      <c r="G2" s="242" t="s">
        <v>3185</v>
      </c>
    </row>
    <row r="3" spans="1:8" x14ac:dyDescent="0.2">
      <c r="A3" s="243" t="s">
        <v>167</v>
      </c>
      <c r="B3" s="298">
        <v>209.00957240299999</v>
      </c>
      <c r="C3" s="280">
        <v>0.1</v>
      </c>
      <c r="D3" s="280" t="s">
        <v>168</v>
      </c>
      <c r="E3" s="280">
        <v>89</v>
      </c>
      <c r="G3" s="242" t="s">
        <v>3195</v>
      </c>
    </row>
    <row r="4" spans="1:8" x14ac:dyDescent="0.2">
      <c r="A4" s="228" t="s">
        <v>170</v>
      </c>
      <c r="B4" s="298">
        <v>210.009254545</v>
      </c>
      <c r="C4" s="280">
        <v>0.4</v>
      </c>
      <c r="D4" s="280" t="s">
        <v>168</v>
      </c>
      <c r="E4" s="280">
        <v>89</v>
      </c>
    </row>
    <row r="5" spans="1:8" ht="13.5" thickBot="1" x14ac:dyDescent="0.25">
      <c r="A5" s="228" t="s">
        <v>174</v>
      </c>
      <c r="B5" s="298">
        <v>211.00764389599999</v>
      </c>
      <c r="C5" s="280">
        <v>0.3</v>
      </c>
      <c r="D5" s="280" t="s">
        <v>168</v>
      </c>
      <c r="E5" s="280">
        <v>89</v>
      </c>
      <c r="G5" s="311" t="s">
        <v>3196</v>
      </c>
      <c r="H5" s="311" t="s">
        <v>177</v>
      </c>
    </row>
    <row r="6" spans="1:8" x14ac:dyDescent="0.2">
      <c r="A6" s="228" t="s">
        <v>176</v>
      </c>
      <c r="B6" s="298">
        <v>212.007809748</v>
      </c>
      <c r="C6" s="280">
        <v>0.9</v>
      </c>
      <c r="D6" s="280" t="s">
        <v>168</v>
      </c>
      <c r="E6" s="280">
        <v>89</v>
      </c>
      <c r="G6" t="s">
        <v>168</v>
      </c>
      <c r="H6" t="s">
        <v>180</v>
      </c>
    </row>
    <row r="7" spans="1:8" x14ac:dyDescent="0.2">
      <c r="A7" s="228" t="s">
        <v>179</v>
      </c>
      <c r="B7" s="298">
        <v>213.006575621</v>
      </c>
      <c r="C7" s="280">
        <v>0.8</v>
      </c>
      <c r="D7" s="280" t="s">
        <v>168</v>
      </c>
      <c r="E7" s="280">
        <v>89</v>
      </c>
      <c r="G7" t="s">
        <v>184</v>
      </c>
      <c r="H7" t="s">
        <v>185</v>
      </c>
    </row>
    <row r="8" spans="1:8" x14ac:dyDescent="0.2">
      <c r="A8" s="228" t="s">
        <v>183</v>
      </c>
      <c r="B8" s="298">
        <v>214.006896985</v>
      </c>
      <c r="C8" s="280">
        <v>8.1999999999999993</v>
      </c>
      <c r="D8" s="280" t="s">
        <v>168</v>
      </c>
      <c r="E8" s="280">
        <v>89</v>
      </c>
      <c r="G8" t="s">
        <v>189</v>
      </c>
      <c r="H8" t="s">
        <v>190</v>
      </c>
    </row>
    <row r="9" spans="1:8" x14ac:dyDescent="0.2">
      <c r="A9" s="228" t="s">
        <v>188</v>
      </c>
      <c r="B9" s="298">
        <v>215.006450282</v>
      </c>
      <c r="C9" s="280">
        <v>0.17</v>
      </c>
      <c r="D9" s="280" t="s">
        <v>168</v>
      </c>
      <c r="E9" s="280">
        <v>89</v>
      </c>
      <c r="G9" t="s">
        <v>192</v>
      </c>
      <c r="H9" t="s">
        <v>193</v>
      </c>
    </row>
    <row r="10" spans="1:8" x14ac:dyDescent="0.2">
      <c r="A10" s="228" t="s">
        <v>191</v>
      </c>
      <c r="B10" s="298">
        <v>216.00870854499999</v>
      </c>
      <c r="C10" s="280">
        <v>0.3</v>
      </c>
      <c r="D10" s="280" t="s">
        <v>184</v>
      </c>
      <c r="E10" s="280">
        <v>89</v>
      </c>
      <c r="G10" t="s">
        <v>195</v>
      </c>
      <c r="H10" t="s">
        <v>196</v>
      </c>
    </row>
    <row r="11" spans="1:8" ht="13.5" thickBot="1" x14ac:dyDescent="0.25">
      <c r="A11" s="228" t="s">
        <v>194</v>
      </c>
      <c r="B11" s="298">
        <v>217.00933227900001</v>
      </c>
      <c r="C11" s="280">
        <v>7.0000000000000007E-2</v>
      </c>
      <c r="D11" s="280" t="s">
        <v>189</v>
      </c>
      <c r="E11" s="280">
        <v>89</v>
      </c>
      <c r="G11" s="234" t="s">
        <v>199</v>
      </c>
      <c r="H11" s="234" t="s">
        <v>200</v>
      </c>
    </row>
    <row r="12" spans="1:8" x14ac:dyDescent="0.2">
      <c r="A12" s="228" t="s">
        <v>198</v>
      </c>
      <c r="B12" s="298">
        <v>218.01162401799999</v>
      </c>
      <c r="C12" s="280">
        <v>1.1000000000000001</v>
      </c>
      <c r="D12" s="280" t="s">
        <v>189</v>
      </c>
      <c r="E12" s="280">
        <v>89</v>
      </c>
    </row>
    <row r="13" spans="1:8" x14ac:dyDescent="0.2">
      <c r="A13" s="228" t="s">
        <v>205</v>
      </c>
      <c r="B13" s="298">
        <v>219.01240529</v>
      </c>
      <c r="C13" s="280">
        <v>7</v>
      </c>
      <c r="D13" s="280" t="s">
        <v>189</v>
      </c>
      <c r="E13" s="280">
        <v>89</v>
      </c>
    </row>
    <row r="14" spans="1:8" x14ac:dyDescent="0.2">
      <c r="A14" s="243" t="s">
        <v>209</v>
      </c>
      <c r="B14" s="298">
        <v>220.014752496</v>
      </c>
      <c r="C14" s="280">
        <v>26</v>
      </c>
      <c r="D14" s="280" t="s">
        <v>184</v>
      </c>
      <c r="E14" s="280">
        <v>89</v>
      </c>
    </row>
    <row r="15" spans="1:8" x14ac:dyDescent="0.2">
      <c r="A15" s="228" t="s">
        <v>212</v>
      </c>
      <c r="B15" s="298">
        <v>221.015575402</v>
      </c>
      <c r="C15" s="280">
        <v>52</v>
      </c>
      <c r="D15" s="280" t="s">
        <v>184</v>
      </c>
      <c r="E15" s="280">
        <v>89</v>
      </c>
    </row>
    <row r="16" spans="1:8" x14ac:dyDescent="0.2">
      <c r="A16" s="228" t="s">
        <v>215</v>
      </c>
      <c r="B16" s="298">
        <v>222.01781984199999</v>
      </c>
      <c r="C16" s="280">
        <v>5</v>
      </c>
      <c r="D16" s="280" t="s">
        <v>168</v>
      </c>
      <c r="E16" s="280">
        <v>89</v>
      </c>
    </row>
    <row r="17" spans="1:5" x14ac:dyDescent="0.2">
      <c r="A17" s="228" t="s">
        <v>217</v>
      </c>
      <c r="B17" s="298">
        <v>223.019126156</v>
      </c>
      <c r="C17" s="280">
        <v>2.1</v>
      </c>
      <c r="D17" s="280" t="s">
        <v>218</v>
      </c>
      <c r="E17" s="280">
        <v>89</v>
      </c>
    </row>
    <row r="18" spans="1:5" x14ac:dyDescent="0.2">
      <c r="A18" s="228" t="s">
        <v>220</v>
      </c>
      <c r="B18" s="298">
        <v>224.021708045</v>
      </c>
      <c r="C18" s="280">
        <v>2.7</v>
      </c>
      <c r="D18" s="280" t="s">
        <v>199</v>
      </c>
      <c r="E18" s="280">
        <v>89</v>
      </c>
    </row>
    <row r="19" spans="1:5" x14ac:dyDescent="0.2">
      <c r="A19" s="228" t="s">
        <v>222</v>
      </c>
      <c r="B19" s="298">
        <v>225.02322000000001</v>
      </c>
      <c r="C19" s="280">
        <v>10</v>
      </c>
      <c r="D19" s="280" t="s">
        <v>192</v>
      </c>
      <c r="E19" s="280">
        <v>89</v>
      </c>
    </row>
    <row r="20" spans="1:5" x14ac:dyDescent="0.2">
      <c r="A20" s="228" t="s">
        <v>224</v>
      </c>
      <c r="B20" s="298">
        <v>226.026089085</v>
      </c>
      <c r="C20" s="280">
        <v>1.224</v>
      </c>
      <c r="D20" s="280" t="s">
        <v>192</v>
      </c>
      <c r="E20" s="280">
        <v>89</v>
      </c>
    </row>
    <row r="21" spans="1:5" x14ac:dyDescent="0.2">
      <c r="A21" s="228" t="s">
        <v>226</v>
      </c>
      <c r="B21" s="298">
        <v>227.02774717</v>
      </c>
      <c r="C21" s="280">
        <v>21.77</v>
      </c>
      <c r="D21" s="280" t="s">
        <v>195</v>
      </c>
      <c r="E21" s="280">
        <v>89</v>
      </c>
    </row>
    <row r="22" spans="1:5" x14ac:dyDescent="0.2">
      <c r="A22" s="228" t="s">
        <v>229</v>
      </c>
      <c r="B22" s="298">
        <v>228.03101397200001</v>
      </c>
      <c r="C22" s="280">
        <v>6.15</v>
      </c>
      <c r="D22" s="280" t="s">
        <v>199</v>
      </c>
      <c r="E22" s="280">
        <v>89</v>
      </c>
    </row>
    <row r="23" spans="1:5" x14ac:dyDescent="0.2">
      <c r="A23" s="228" t="s">
        <v>230</v>
      </c>
      <c r="B23" s="298">
        <v>229.03292954700001</v>
      </c>
      <c r="C23" s="280">
        <v>1.04</v>
      </c>
      <c r="D23" s="280" t="s">
        <v>199</v>
      </c>
      <c r="E23" s="280">
        <v>89</v>
      </c>
    </row>
    <row r="24" spans="1:5" x14ac:dyDescent="0.2">
      <c r="A24" s="228" t="s">
        <v>233</v>
      </c>
      <c r="B24" s="298">
        <v>230.03602423000001</v>
      </c>
      <c r="C24" s="280">
        <v>2.0299999999999998</v>
      </c>
      <c r="D24" s="280" t="s">
        <v>218</v>
      </c>
      <c r="E24" s="280">
        <v>89</v>
      </c>
    </row>
    <row r="25" spans="1:5" x14ac:dyDescent="0.2">
      <c r="A25" s="228" t="s">
        <v>235</v>
      </c>
      <c r="B25" s="298">
        <v>231.03855058900001</v>
      </c>
      <c r="C25" s="280">
        <v>7.5</v>
      </c>
      <c r="D25" s="280" t="s">
        <v>218</v>
      </c>
      <c r="E25" s="280">
        <v>89</v>
      </c>
    </row>
    <row r="26" spans="1:5" x14ac:dyDescent="0.2">
      <c r="A26" s="228" t="s">
        <v>236</v>
      </c>
      <c r="B26" s="298">
        <v>232.04202162000001</v>
      </c>
      <c r="C26" s="280">
        <v>2</v>
      </c>
      <c r="D26" s="280" t="s">
        <v>218</v>
      </c>
      <c r="E26" s="280">
        <v>89</v>
      </c>
    </row>
    <row r="27" spans="1:5" x14ac:dyDescent="0.2">
      <c r="A27" s="287" t="s">
        <v>237</v>
      </c>
      <c r="B27" s="299">
        <v>107.86799999999999</v>
      </c>
      <c r="C27" s="288">
        <v>0</v>
      </c>
      <c r="D27" s="288">
        <v>0</v>
      </c>
      <c r="E27" s="288">
        <v>47</v>
      </c>
    </row>
    <row r="28" spans="1:5" x14ac:dyDescent="0.2">
      <c r="A28" s="228" t="s">
        <v>238</v>
      </c>
      <c r="B28" s="298">
        <v>99.916099184999993</v>
      </c>
      <c r="C28" s="280">
        <v>2</v>
      </c>
      <c r="D28" s="280" t="s">
        <v>218</v>
      </c>
      <c r="E28" s="280">
        <v>47</v>
      </c>
    </row>
    <row r="29" spans="1:5" x14ac:dyDescent="0.2">
      <c r="A29" s="228" t="s">
        <v>240</v>
      </c>
      <c r="B29" s="298">
        <v>100.912801507</v>
      </c>
      <c r="C29" s="280">
        <v>11.1</v>
      </c>
      <c r="D29" s="280" t="s">
        <v>218</v>
      </c>
      <c r="E29" s="280">
        <v>47</v>
      </c>
    </row>
    <row r="30" spans="1:5" x14ac:dyDescent="0.2">
      <c r="A30" s="228" t="s">
        <v>241</v>
      </c>
      <c r="B30" s="298">
        <v>101.91196598099999</v>
      </c>
      <c r="C30" s="280">
        <v>13</v>
      </c>
      <c r="D30" s="280" t="s">
        <v>218</v>
      </c>
      <c r="E30" s="280">
        <v>47</v>
      </c>
    </row>
    <row r="31" spans="1:5" x14ac:dyDescent="0.2">
      <c r="A31" s="228" t="s">
        <v>242</v>
      </c>
      <c r="B31" s="298">
        <v>102.90897220700001</v>
      </c>
      <c r="C31" s="280">
        <v>1.1000000000000001</v>
      </c>
      <c r="D31" s="280" t="s">
        <v>199</v>
      </c>
      <c r="E31" s="280">
        <v>47</v>
      </c>
    </row>
    <row r="32" spans="1:5" x14ac:dyDescent="0.2">
      <c r="A32" s="228" t="s">
        <v>243</v>
      </c>
      <c r="B32" s="298">
        <v>103.908627486</v>
      </c>
      <c r="C32" s="280">
        <v>1.1499999999999999</v>
      </c>
      <c r="D32" s="280" t="s">
        <v>199</v>
      </c>
      <c r="E32" s="280">
        <v>47</v>
      </c>
    </row>
    <row r="33" spans="1:5" x14ac:dyDescent="0.2">
      <c r="A33" s="228" t="s">
        <v>244</v>
      </c>
      <c r="B33" s="298">
        <v>104.906527932</v>
      </c>
      <c r="C33" s="280">
        <v>41.3</v>
      </c>
      <c r="D33" s="280" t="s">
        <v>192</v>
      </c>
      <c r="E33" s="280">
        <v>47</v>
      </c>
    </row>
    <row r="34" spans="1:5" x14ac:dyDescent="0.2">
      <c r="A34" s="228" t="s">
        <v>246</v>
      </c>
      <c r="B34" s="298">
        <v>105.906666886</v>
      </c>
      <c r="C34" s="280">
        <v>24</v>
      </c>
      <c r="D34" s="280" t="s">
        <v>218</v>
      </c>
      <c r="E34" s="280">
        <v>47</v>
      </c>
    </row>
    <row r="35" spans="1:5" x14ac:dyDescent="0.2">
      <c r="A35" s="228" t="s">
        <v>247</v>
      </c>
      <c r="B35" s="298">
        <v>106.905093132</v>
      </c>
      <c r="C35" s="280">
        <v>44.2</v>
      </c>
      <c r="D35" s="280" t="s">
        <v>168</v>
      </c>
      <c r="E35" s="280">
        <v>47</v>
      </c>
    </row>
    <row r="36" spans="1:5" x14ac:dyDescent="0.2">
      <c r="A36" s="228" t="s">
        <v>248</v>
      </c>
      <c r="B36" s="298">
        <v>107.905953817</v>
      </c>
      <c r="C36" s="280">
        <v>2.39</v>
      </c>
      <c r="D36" s="280" t="s">
        <v>218</v>
      </c>
      <c r="E36" s="280">
        <v>47</v>
      </c>
    </row>
    <row r="37" spans="1:5" x14ac:dyDescent="0.2">
      <c r="A37" s="228" t="s">
        <v>252</v>
      </c>
      <c r="B37" s="298">
        <v>108.90475586700001</v>
      </c>
      <c r="C37" s="280">
        <v>39.799999999999997</v>
      </c>
      <c r="D37" s="280" t="s">
        <v>168</v>
      </c>
      <c r="E37" s="280">
        <v>47</v>
      </c>
    </row>
    <row r="38" spans="1:5" x14ac:dyDescent="0.2">
      <c r="A38" s="228" t="s">
        <v>253</v>
      </c>
      <c r="B38" s="298">
        <v>109.906110813</v>
      </c>
      <c r="C38" s="280" t="s">
        <v>171</v>
      </c>
      <c r="E38" s="280">
        <v>47</v>
      </c>
    </row>
    <row r="39" spans="1:5" x14ac:dyDescent="0.2">
      <c r="A39" s="228" t="s">
        <v>255</v>
      </c>
      <c r="B39" s="298">
        <v>110.90529508900001</v>
      </c>
      <c r="E39" s="280">
        <v>47</v>
      </c>
    </row>
    <row r="40" spans="1:5" x14ac:dyDescent="0.2">
      <c r="A40" s="228" t="s">
        <v>256</v>
      </c>
      <c r="B40" s="298">
        <v>111.907004513</v>
      </c>
      <c r="E40" s="280">
        <v>47</v>
      </c>
    </row>
    <row r="41" spans="1:5" x14ac:dyDescent="0.2">
      <c r="A41" s="228" t="s">
        <v>257</v>
      </c>
      <c r="B41" s="298">
        <v>112.906566141</v>
      </c>
      <c r="E41" s="280">
        <v>47</v>
      </c>
    </row>
    <row r="42" spans="1:5" x14ac:dyDescent="0.2">
      <c r="A42" s="228" t="s">
        <v>258</v>
      </c>
      <c r="B42" s="298">
        <v>113.908808326</v>
      </c>
      <c r="E42" s="280">
        <v>47</v>
      </c>
    </row>
    <row r="43" spans="1:5" x14ac:dyDescent="0.2">
      <c r="A43" s="228" t="s">
        <v>259</v>
      </c>
      <c r="B43" s="298">
        <v>114.908762717</v>
      </c>
      <c r="E43" s="280">
        <v>47</v>
      </c>
    </row>
    <row r="44" spans="1:5" x14ac:dyDescent="0.2">
      <c r="A44" s="228" t="s">
        <v>260</v>
      </c>
      <c r="B44" s="298">
        <v>115.911368647</v>
      </c>
      <c r="E44" s="280">
        <v>47</v>
      </c>
    </row>
    <row r="45" spans="1:5" x14ac:dyDescent="0.2">
      <c r="A45" s="228" t="s">
        <v>261</v>
      </c>
      <c r="B45" s="298">
        <v>116.911708199</v>
      </c>
      <c r="E45" s="280">
        <v>47</v>
      </c>
    </row>
    <row r="46" spans="1:5" x14ac:dyDescent="0.2">
      <c r="A46" s="228" t="s">
        <v>263</v>
      </c>
      <c r="B46" s="298">
        <v>117.914498787</v>
      </c>
      <c r="E46" s="280">
        <v>47</v>
      </c>
    </row>
    <row r="47" spans="1:5" x14ac:dyDescent="0.2">
      <c r="A47" s="228" t="s">
        <v>264</v>
      </c>
      <c r="B47" s="298">
        <v>118.915667769</v>
      </c>
      <c r="E47" s="280">
        <v>47</v>
      </c>
    </row>
    <row r="48" spans="1:5" x14ac:dyDescent="0.2">
      <c r="A48" s="228" t="s">
        <v>266</v>
      </c>
      <c r="B48" s="298">
        <v>119.918654289</v>
      </c>
      <c r="E48" s="280">
        <v>47</v>
      </c>
    </row>
    <row r="49" spans="1:5" x14ac:dyDescent="0.2">
      <c r="A49" s="228" t="s">
        <v>268</v>
      </c>
      <c r="B49" s="298">
        <v>120.919970173</v>
      </c>
      <c r="E49" s="280">
        <v>47</v>
      </c>
    </row>
    <row r="50" spans="1:5" x14ac:dyDescent="0.2">
      <c r="A50" s="228" t="s">
        <v>270</v>
      </c>
      <c r="B50" s="298">
        <v>121.92332</v>
      </c>
      <c r="E50" s="280">
        <v>47</v>
      </c>
    </row>
    <row r="51" spans="1:5" x14ac:dyDescent="0.2">
      <c r="A51" s="228" t="s">
        <v>271</v>
      </c>
      <c r="B51" s="298">
        <v>122.92489999999999</v>
      </c>
      <c r="E51" s="280">
        <v>47</v>
      </c>
    </row>
    <row r="52" spans="1:5" x14ac:dyDescent="0.2">
      <c r="A52" s="228" t="s">
        <v>272</v>
      </c>
      <c r="B52" s="298">
        <v>123.92852999999999</v>
      </c>
      <c r="E52" s="280">
        <v>47</v>
      </c>
    </row>
    <row r="53" spans="1:5" x14ac:dyDescent="0.2">
      <c r="A53" s="228" t="s">
        <v>274</v>
      </c>
      <c r="B53" s="298">
        <v>95.930679999999995</v>
      </c>
      <c r="E53" s="280">
        <v>47</v>
      </c>
    </row>
    <row r="54" spans="1:5" x14ac:dyDescent="0.2">
      <c r="A54" s="228" t="s">
        <v>276</v>
      </c>
      <c r="B54" s="298">
        <v>96.924000000000007</v>
      </c>
      <c r="E54" s="280">
        <v>47</v>
      </c>
    </row>
    <row r="55" spans="1:5" x14ac:dyDescent="0.2">
      <c r="A55" s="228" t="s">
        <v>278</v>
      </c>
      <c r="B55" s="298">
        <v>97.921765868999998</v>
      </c>
      <c r="E55" s="280">
        <v>47</v>
      </c>
    </row>
    <row r="56" spans="1:5" x14ac:dyDescent="0.2">
      <c r="A56" s="228" t="s">
        <v>280</v>
      </c>
      <c r="B56" s="298">
        <v>98.917638327000006</v>
      </c>
      <c r="E56" s="280">
        <v>47</v>
      </c>
    </row>
    <row r="57" spans="1:5" x14ac:dyDescent="0.2">
      <c r="A57" s="287" t="s">
        <v>282</v>
      </c>
      <c r="B57" s="299">
        <v>26.981539999999999</v>
      </c>
      <c r="C57" s="288">
        <v>0</v>
      </c>
      <c r="D57" s="288">
        <v>0</v>
      </c>
      <c r="E57" s="288">
        <v>13</v>
      </c>
    </row>
    <row r="58" spans="1:5" x14ac:dyDescent="0.2">
      <c r="A58" s="228" t="s">
        <v>284</v>
      </c>
      <c r="B58" s="298">
        <v>21.028040000000001</v>
      </c>
      <c r="E58" s="280">
        <v>13</v>
      </c>
    </row>
    <row r="59" spans="1:5" x14ac:dyDescent="0.2">
      <c r="A59" s="228" t="s">
        <v>286</v>
      </c>
      <c r="B59" s="298">
        <v>22.01952</v>
      </c>
      <c r="E59" s="280">
        <v>13</v>
      </c>
    </row>
    <row r="60" spans="1:5" x14ac:dyDescent="0.2">
      <c r="A60" s="228" t="s">
        <v>287</v>
      </c>
      <c r="B60" s="298">
        <v>23.007264860999999</v>
      </c>
      <c r="E60" s="280">
        <v>13</v>
      </c>
    </row>
    <row r="61" spans="1:5" x14ac:dyDescent="0.2">
      <c r="A61" s="228" t="s">
        <v>288</v>
      </c>
      <c r="B61" s="298">
        <v>23.999940887000001</v>
      </c>
      <c r="E61" s="280">
        <v>13</v>
      </c>
    </row>
    <row r="62" spans="1:5" x14ac:dyDescent="0.2">
      <c r="A62" s="228" t="s">
        <v>289</v>
      </c>
      <c r="B62" s="298">
        <v>24.990428530999999</v>
      </c>
      <c r="E62" s="280">
        <v>13</v>
      </c>
    </row>
    <row r="63" spans="1:5" x14ac:dyDescent="0.2">
      <c r="A63" s="228" t="s">
        <v>290</v>
      </c>
      <c r="B63" s="298">
        <v>25.986891674999999</v>
      </c>
      <c r="E63" s="280">
        <v>13</v>
      </c>
    </row>
    <row r="64" spans="1:5" x14ac:dyDescent="0.2">
      <c r="A64" s="228" t="s">
        <v>291</v>
      </c>
      <c r="B64" s="298">
        <v>26.981538406999999</v>
      </c>
      <c r="E64" s="280">
        <v>13</v>
      </c>
    </row>
    <row r="65" spans="1:5" x14ac:dyDescent="0.2">
      <c r="A65" s="228" t="s">
        <v>292</v>
      </c>
      <c r="B65" s="298">
        <v>27.981910150000001</v>
      </c>
      <c r="E65" s="280">
        <v>13</v>
      </c>
    </row>
    <row r="66" spans="1:5" x14ac:dyDescent="0.2">
      <c r="A66" s="228" t="s">
        <v>293</v>
      </c>
      <c r="B66" s="298">
        <v>28.980444813999998</v>
      </c>
      <c r="E66" s="280">
        <v>13</v>
      </c>
    </row>
    <row r="67" spans="1:5" x14ac:dyDescent="0.2">
      <c r="A67" s="228" t="s">
        <v>296</v>
      </c>
      <c r="B67" s="298">
        <v>29.982960264999999</v>
      </c>
      <c r="E67" s="280">
        <v>13</v>
      </c>
    </row>
    <row r="68" spans="1:5" x14ac:dyDescent="0.2">
      <c r="A68" s="228" t="s">
        <v>298</v>
      </c>
      <c r="B68" s="298">
        <v>30.983945984000002</v>
      </c>
      <c r="E68" s="280">
        <v>13</v>
      </c>
    </row>
    <row r="69" spans="1:5" x14ac:dyDescent="0.2">
      <c r="A69" s="228" t="s">
        <v>300</v>
      </c>
      <c r="B69" s="298">
        <v>31.988124378999998</v>
      </c>
      <c r="E69" s="280">
        <v>13</v>
      </c>
    </row>
    <row r="70" spans="1:5" x14ac:dyDescent="0.2">
      <c r="A70" s="228" t="s">
        <v>301</v>
      </c>
      <c r="B70" s="298">
        <v>32.990869586999999</v>
      </c>
      <c r="E70" s="280">
        <v>13</v>
      </c>
    </row>
    <row r="71" spans="1:5" x14ac:dyDescent="0.2">
      <c r="A71" s="228" t="s">
        <v>303</v>
      </c>
      <c r="B71" s="298">
        <v>33.996927255000003</v>
      </c>
      <c r="E71" s="280">
        <v>13</v>
      </c>
    </row>
    <row r="72" spans="1:5" x14ac:dyDescent="0.2">
      <c r="A72" s="228" t="s">
        <v>305</v>
      </c>
      <c r="B72" s="298">
        <v>34.99993765</v>
      </c>
      <c r="E72" s="280">
        <v>13</v>
      </c>
    </row>
    <row r="73" spans="1:5" x14ac:dyDescent="0.2">
      <c r="A73" s="228" t="s">
        <v>306</v>
      </c>
      <c r="B73" s="298">
        <v>36.006351500999997</v>
      </c>
      <c r="E73" s="280">
        <v>13</v>
      </c>
    </row>
    <row r="74" spans="1:5" x14ac:dyDescent="0.2">
      <c r="A74" s="228" t="s">
        <v>307</v>
      </c>
      <c r="B74" s="298">
        <v>37.010309999999997</v>
      </c>
      <c r="E74" s="280">
        <v>13</v>
      </c>
    </row>
    <row r="75" spans="1:5" x14ac:dyDescent="0.2">
      <c r="A75" s="228" t="s">
        <v>308</v>
      </c>
      <c r="B75" s="298">
        <v>38.0169</v>
      </c>
      <c r="E75" s="280">
        <v>13</v>
      </c>
    </row>
    <row r="76" spans="1:5" x14ac:dyDescent="0.2">
      <c r="A76" s="287" t="s">
        <v>3166</v>
      </c>
      <c r="B76" s="299">
        <v>243</v>
      </c>
      <c r="C76" s="288"/>
      <c r="D76" s="288"/>
      <c r="E76" s="288">
        <v>95</v>
      </c>
    </row>
    <row r="77" spans="1:5" x14ac:dyDescent="0.2">
      <c r="A77" s="228" t="s">
        <v>309</v>
      </c>
      <c r="B77" s="298">
        <v>233.04647199999999</v>
      </c>
      <c r="E77" s="280">
        <v>95</v>
      </c>
    </row>
    <row r="78" spans="1:5" x14ac:dyDescent="0.2">
      <c r="A78" s="228" t="s">
        <v>310</v>
      </c>
      <c r="B78" s="298">
        <v>234.047785</v>
      </c>
      <c r="E78" s="280">
        <v>95</v>
      </c>
    </row>
    <row r="79" spans="1:5" x14ac:dyDescent="0.2">
      <c r="A79" s="228" t="s">
        <v>311</v>
      </c>
      <c r="B79" s="298">
        <v>235.04802900000001</v>
      </c>
      <c r="E79" s="280">
        <v>95</v>
      </c>
    </row>
    <row r="80" spans="1:5" x14ac:dyDescent="0.2">
      <c r="A80" s="228" t="s">
        <v>312</v>
      </c>
      <c r="B80" s="298">
        <v>236.04956899999999</v>
      </c>
      <c r="E80" s="280">
        <v>95</v>
      </c>
    </row>
    <row r="81" spans="1:5" x14ac:dyDescent="0.2">
      <c r="A81" s="228" t="s">
        <v>313</v>
      </c>
      <c r="B81" s="298">
        <v>237.05026000000001</v>
      </c>
      <c r="E81" s="280">
        <v>95</v>
      </c>
    </row>
    <row r="82" spans="1:5" x14ac:dyDescent="0.2">
      <c r="A82" s="228" t="s">
        <v>314</v>
      </c>
      <c r="B82" s="298">
        <v>238.051976927</v>
      </c>
      <c r="E82" s="280">
        <v>95</v>
      </c>
    </row>
    <row r="83" spans="1:5" x14ac:dyDescent="0.2">
      <c r="A83" s="228" t="s">
        <v>315</v>
      </c>
      <c r="B83" s="298">
        <v>239.053017571</v>
      </c>
      <c r="E83" s="280">
        <v>95</v>
      </c>
    </row>
    <row r="84" spans="1:5" x14ac:dyDescent="0.2">
      <c r="A84" s="228" t="s">
        <v>316</v>
      </c>
      <c r="B84" s="298">
        <v>240.05528691699999</v>
      </c>
      <c r="C84" s="280">
        <v>2.12</v>
      </c>
      <c r="D84" s="280" t="s">
        <v>192</v>
      </c>
      <c r="E84" s="280">
        <v>95</v>
      </c>
    </row>
    <row r="85" spans="1:5" x14ac:dyDescent="0.2">
      <c r="A85" s="228" t="s">
        <v>317</v>
      </c>
      <c r="B85" s="298">
        <v>241.05682203500001</v>
      </c>
      <c r="C85" s="280">
        <v>432.7</v>
      </c>
      <c r="D85" s="280" t="s">
        <v>195</v>
      </c>
      <c r="E85" s="280">
        <v>95</v>
      </c>
    </row>
    <row r="86" spans="1:5" x14ac:dyDescent="0.2">
      <c r="A86" s="228" t="s">
        <v>318</v>
      </c>
      <c r="B86" s="298">
        <v>242.05954212899999</v>
      </c>
      <c r="C86" s="280">
        <v>141</v>
      </c>
      <c r="D86" s="280" t="s">
        <v>195</v>
      </c>
      <c r="E86" s="280">
        <v>95</v>
      </c>
    </row>
    <row r="87" spans="1:5" x14ac:dyDescent="0.2">
      <c r="A87" s="228" t="s">
        <v>319</v>
      </c>
      <c r="B87" s="298">
        <v>243.061371775</v>
      </c>
      <c r="C87" s="282">
        <v>7370</v>
      </c>
      <c r="D87" s="280" t="s">
        <v>195</v>
      </c>
      <c r="E87" s="280">
        <v>95</v>
      </c>
    </row>
    <row r="88" spans="1:5" x14ac:dyDescent="0.2">
      <c r="A88" s="228" t="s">
        <v>320</v>
      </c>
      <c r="B88" s="298">
        <v>244.064278519</v>
      </c>
      <c r="C88" s="280">
        <v>10.1</v>
      </c>
      <c r="D88" s="280" t="s">
        <v>199</v>
      </c>
      <c r="E88" s="280">
        <v>95</v>
      </c>
    </row>
    <row r="89" spans="1:5" x14ac:dyDescent="0.2">
      <c r="A89" s="228" t="s">
        <v>321</v>
      </c>
      <c r="B89" s="298">
        <v>245.06644437899999</v>
      </c>
      <c r="E89" s="280">
        <v>95</v>
      </c>
    </row>
    <row r="90" spans="1:5" x14ac:dyDescent="0.2">
      <c r="A90" s="228" t="s">
        <v>322</v>
      </c>
      <c r="B90" s="298">
        <v>246.069767474</v>
      </c>
      <c r="E90" s="280">
        <v>95</v>
      </c>
    </row>
    <row r="91" spans="1:5" x14ac:dyDescent="0.2">
      <c r="A91" s="228" t="s">
        <v>323</v>
      </c>
      <c r="B91" s="298">
        <v>247.072171</v>
      </c>
      <c r="E91" s="280">
        <v>95</v>
      </c>
    </row>
    <row r="92" spans="1:5" x14ac:dyDescent="0.2">
      <c r="A92" s="228" t="s">
        <v>324</v>
      </c>
      <c r="B92" s="298">
        <v>248.075669</v>
      </c>
      <c r="E92" s="280">
        <v>95</v>
      </c>
    </row>
    <row r="93" spans="1:5" x14ac:dyDescent="0.2">
      <c r="A93" s="287" t="s">
        <v>325</v>
      </c>
      <c r="B93" s="299">
        <v>39.948</v>
      </c>
      <c r="C93" s="288">
        <v>0</v>
      </c>
      <c r="D93" s="288">
        <v>0</v>
      </c>
      <c r="E93" s="288">
        <v>18</v>
      </c>
    </row>
    <row r="94" spans="1:5" x14ac:dyDescent="0.2">
      <c r="A94" s="228" t="s">
        <v>326</v>
      </c>
      <c r="B94" s="298">
        <v>30.021560000000001</v>
      </c>
      <c r="E94" s="280">
        <v>18</v>
      </c>
    </row>
    <row r="95" spans="1:5" x14ac:dyDescent="0.2">
      <c r="A95" s="228" t="s">
        <v>327</v>
      </c>
      <c r="B95" s="298">
        <v>31.012125999999999</v>
      </c>
      <c r="E95" s="280">
        <v>18</v>
      </c>
    </row>
    <row r="96" spans="1:5" x14ac:dyDescent="0.2">
      <c r="A96" s="228" t="s">
        <v>328</v>
      </c>
      <c r="B96" s="298">
        <v>31.997660701000001</v>
      </c>
      <c r="E96" s="280">
        <v>18</v>
      </c>
    </row>
    <row r="97" spans="1:5" x14ac:dyDescent="0.2">
      <c r="A97" s="228" t="s">
        <v>329</v>
      </c>
      <c r="B97" s="298">
        <v>32.989928696</v>
      </c>
      <c r="E97" s="280">
        <v>18</v>
      </c>
    </row>
    <row r="98" spans="1:5" x14ac:dyDescent="0.2">
      <c r="A98" s="228" t="s">
        <v>330</v>
      </c>
      <c r="B98" s="298">
        <v>33.980270093999998</v>
      </c>
      <c r="E98" s="280">
        <v>18</v>
      </c>
    </row>
    <row r="99" spans="1:5" x14ac:dyDescent="0.2">
      <c r="A99" s="228" t="s">
        <v>331</v>
      </c>
      <c r="B99" s="298">
        <v>34.975256725000001</v>
      </c>
      <c r="E99" s="280">
        <v>18</v>
      </c>
    </row>
    <row r="100" spans="1:5" x14ac:dyDescent="0.2">
      <c r="A100" s="228" t="s">
        <v>332</v>
      </c>
      <c r="B100" s="298">
        <v>35.967546257999999</v>
      </c>
      <c r="C100" s="280">
        <v>0</v>
      </c>
      <c r="E100" s="280">
        <v>18</v>
      </c>
    </row>
    <row r="101" spans="1:5" x14ac:dyDescent="0.2">
      <c r="A101" s="228" t="s">
        <v>333</v>
      </c>
      <c r="B101" s="298">
        <v>36.966775904000002</v>
      </c>
      <c r="C101" s="280">
        <v>35</v>
      </c>
      <c r="D101" s="280" t="s">
        <v>192</v>
      </c>
      <c r="E101" s="280">
        <v>18</v>
      </c>
    </row>
    <row r="102" spans="1:5" x14ac:dyDescent="0.2">
      <c r="A102" s="228" t="s">
        <v>334</v>
      </c>
      <c r="B102" s="298">
        <v>37.962732162000002</v>
      </c>
      <c r="C102" s="280">
        <v>0</v>
      </c>
      <c r="E102" s="280">
        <v>18</v>
      </c>
    </row>
    <row r="103" spans="1:5" x14ac:dyDescent="0.2">
      <c r="A103" s="228" t="s">
        <v>335</v>
      </c>
      <c r="B103" s="298">
        <v>38.964313412000003</v>
      </c>
      <c r="C103" s="280">
        <v>269</v>
      </c>
      <c r="D103" s="280" t="s">
        <v>195</v>
      </c>
      <c r="E103" s="280">
        <v>18</v>
      </c>
    </row>
    <row r="104" spans="1:5" x14ac:dyDescent="0.2">
      <c r="A104" s="228" t="s">
        <v>336</v>
      </c>
      <c r="B104" s="298">
        <v>39.962383123999999</v>
      </c>
      <c r="C104" s="280">
        <v>0</v>
      </c>
      <c r="E104" s="280">
        <v>18</v>
      </c>
    </row>
    <row r="105" spans="1:5" x14ac:dyDescent="0.2">
      <c r="A105" s="228" t="s">
        <v>337</v>
      </c>
      <c r="B105" s="298">
        <v>40.964500827999998</v>
      </c>
      <c r="C105" s="280">
        <v>1.82</v>
      </c>
      <c r="D105" s="280" t="s">
        <v>199</v>
      </c>
      <c r="E105" s="280">
        <v>18</v>
      </c>
    </row>
    <row r="106" spans="1:5" x14ac:dyDescent="0.2">
      <c r="A106" s="228" t="s">
        <v>338</v>
      </c>
      <c r="B106" s="298">
        <v>41.963046386000002</v>
      </c>
      <c r="E106" s="280">
        <v>18</v>
      </c>
    </row>
    <row r="107" spans="1:5" x14ac:dyDescent="0.2">
      <c r="A107" s="228" t="s">
        <v>339</v>
      </c>
      <c r="B107" s="298">
        <v>42.965670611999997</v>
      </c>
      <c r="E107" s="280">
        <v>18</v>
      </c>
    </row>
    <row r="108" spans="1:5" x14ac:dyDescent="0.2">
      <c r="A108" s="228" t="s">
        <v>340</v>
      </c>
      <c r="B108" s="298">
        <v>43.965365179999999</v>
      </c>
      <c r="E108" s="280">
        <v>18</v>
      </c>
    </row>
    <row r="109" spans="1:5" x14ac:dyDescent="0.2">
      <c r="A109" s="228" t="s">
        <v>341</v>
      </c>
      <c r="B109" s="298">
        <v>44.968094890000003</v>
      </c>
      <c r="E109" s="280">
        <v>18</v>
      </c>
    </row>
    <row r="110" spans="1:5" x14ac:dyDescent="0.2">
      <c r="A110" s="228" t="s">
        <v>342</v>
      </c>
      <c r="B110" s="298">
        <v>45.968093379000003</v>
      </c>
      <c r="E110" s="280">
        <v>18</v>
      </c>
    </row>
    <row r="111" spans="1:5" x14ac:dyDescent="0.2">
      <c r="A111" s="228" t="s">
        <v>343</v>
      </c>
      <c r="B111" s="298">
        <v>46.972186149999999</v>
      </c>
      <c r="E111" s="280">
        <v>18</v>
      </c>
    </row>
    <row r="112" spans="1:5" x14ac:dyDescent="0.2">
      <c r="A112" s="228" t="s">
        <v>344</v>
      </c>
      <c r="B112" s="298">
        <v>47.975070000000002</v>
      </c>
      <c r="E112" s="280">
        <v>18</v>
      </c>
    </row>
    <row r="113" spans="1:5" x14ac:dyDescent="0.2">
      <c r="A113" s="287" t="s">
        <v>345</v>
      </c>
      <c r="B113" s="299">
        <v>74.921599999999998</v>
      </c>
      <c r="C113" s="288">
        <v>0</v>
      </c>
      <c r="D113" s="288">
        <v>0</v>
      </c>
      <c r="E113" s="288">
        <v>33</v>
      </c>
    </row>
    <row r="114" spans="1:5" x14ac:dyDescent="0.2">
      <c r="A114" s="228" t="s">
        <v>346</v>
      </c>
      <c r="B114" s="298">
        <v>59.993130000000001</v>
      </c>
      <c r="E114" s="280">
        <v>33</v>
      </c>
    </row>
    <row r="115" spans="1:5" x14ac:dyDescent="0.2">
      <c r="A115" s="228" t="s">
        <v>347</v>
      </c>
      <c r="B115" s="298">
        <v>60.980620000000002</v>
      </c>
      <c r="E115" s="280">
        <v>33</v>
      </c>
    </row>
    <row r="116" spans="1:5" x14ac:dyDescent="0.2">
      <c r="A116" s="228" t="s">
        <v>348</v>
      </c>
      <c r="B116" s="298">
        <v>61.973199999999999</v>
      </c>
      <c r="E116" s="280">
        <v>33</v>
      </c>
    </row>
    <row r="117" spans="1:5" x14ac:dyDescent="0.2">
      <c r="A117" s="228" t="s">
        <v>349</v>
      </c>
      <c r="B117" s="298">
        <v>62.96369</v>
      </c>
      <c r="E117" s="280">
        <v>33</v>
      </c>
    </row>
    <row r="118" spans="1:5" x14ac:dyDescent="0.2">
      <c r="A118" s="228" t="s">
        <v>350</v>
      </c>
      <c r="B118" s="298">
        <v>63.957430000000002</v>
      </c>
      <c r="E118" s="280">
        <v>33</v>
      </c>
    </row>
    <row r="119" spans="1:5" x14ac:dyDescent="0.2">
      <c r="A119" s="228" t="s">
        <v>351</v>
      </c>
      <c r="B119" s="298">
        <v>64.949483000000001</v>
      </c>
      <c r="E119" s="280">
        <v>33</v>
      </c>
    </row>
    <row r="120" spans="1:5" x14ac:dyDescent="0.2">
      <c r="A120" s="228" t="s">
        <v>352</v>
      </c>
      <c r="B120" s="298">
        <v>65.944367</v>
      </c>
      <c r="E120" s="280">
        <v>33</v>
      </c>
    </row>
    <row r="121" spans="1:5" x14ac:dyDescent="0.2">
      <c r="A121" s="228" t="s">
        <v>353</v>
      </c>
      <c r="B121" s="298">
        <v>66.939189956000007</v>
      </c>
      <c r="E121" s="280">
        <v>33</v>
      </c>
    </row>
    <row r="122" spans="1:5" x14ac:dyDescent="0.2">
      <c r="A122" s="228" t="s">
        <v>354</v>
      </c>
      <c r="B122" s="298">
        <v>67.936792604999994</v>
      </c>
      <c r="E122" s="280">
        <v>33</v>
      </c>
    </row>
    <row r="123" spans="1:5" x14ac:dyDescent="0.2">
      <c r="A123" s="228" t="s">
        <v>355</v>
      </c>
      <c r="B123" s="298">
        <v>68.932279879000006</v>
      </c>
      <c r="E123" s="280">
        <v>33</v>
      </c>
    </row>
    <row r="124" spans="1:5" x14ac:dyDescent="0.2">
      <c r="A124" s="228" t="s">
        <v>356</v>
      </c>
      <c r="B124" s="298">
        <v>69.930927440000005</v>
      </c>
      <c r="E124" s="280">
        <v>33</v>
      </c>
    </row>
    <row r="125" spans="1:5" x14ac:dyDescent="0.2">
      <c r="A125" s="228" t="s">
        <v>357</v>
      </c>
      <c r="B125" s="298">
        <v>70.927114352999993</v>
      </c>
      <c r="E125" s="280">
        <v>33</v>
      </c>
    </row>
    <row r="126" spans="1:5" x14ac:dyDescent="0.2">
      <c r="A126" s="228" t="s">
        <v>358</v>
      </c>
      <c r="B126" s="298">
        <v>71.926752800000003</v>
      </c>
      <c r="E126" s="280">
        <v>33</v>
      </c>
    </row>
    <row r="127" spans="1:5" x14ac:dyDescent="0.2">
      <c r="A127" s="228" t="s">
        <v>359</v>
      </c>
      <c r="B127" s="298">
        <v>72.923825441000005</v>
      </c>
      <c r="E127" s="280">
        <v>33</v>
      </c>
    </row>
    <row r="128" spans="1:5" x14ac:dyDescent="0.2">
      <c r="A128" s="228" t="s">
        <v>360</v>
      </c>
      <c r="B128" s="298">
        <v>73.923929228999995</v>
      </c>
      <c r="E128" s="280">
        <v>33</v>
      </c>
    </row>
    <row r="129" spans="1:5" x14ac:dyDescent="0.2">
      <c r="A129" s="228" t="s">
        <v>361</v>
      </c>
      <c r="B129" s="298">
        <v>74.921596566999995</v>
      </c>
      <c r="E129" s="280">
        <v>33</v>
      </c>
    </row>
    <row r="130" spans="1:5" x14ac:dyDescent="0.2">
      <c r="A130" s="228" t="s">
        <v>362</v>
      </c>
      <c r="B130" s="298">
        <v>75.922394084999993</v>
      </c>
      <c r="E130" s="280">
        <v>33</v>
      </c>
    </row>
    <row r="131" spans="1:5" x14ac:dyDescent="0.2">
      <c r="A131" s="228" t="s">
        <v>363</v>
      </c>
      <c r="B131" s="298">
        <v>76.920647884999994</v>
      </c>
      <c r="E131" s="280">
        <v>33</v>
      </c>
    </row>
    <row r="132" spans="1:5" x14ac:dyDescent="0.2">
      <c r="A132" s="228" t="s">
        <v>364</v>
      </c>
      <c r="B132" s="298">
        <v>77.921828813000005</v>
      </c>
      <c r="E132" s="280">
        <v>33</v>
      </c>
    </row>
    <row r="133" spans="1:5" x14ac:dyDescent="0.2">
      <c r="A133" s="228" t="s">
        <v>365</v>
      </c>
      <c r="B133" s="298">
        <v>78.920948734000007</v>
      </c>
      <c r="E133" s="280">
        <v>33</v>
      </c>
    </row>
    <row r="134" spans="1:5" x14ac:dyDescent="0.2">
      <c r="A134" s="228" t="s">
        <v>366</v>
      </c>
      <c r="B134" s="298">
        <v>79.922578412999997</v>
      </c>
      <c r="E134" s="280">
        <v>33</v>
      </c>
    </row>
    <row r="135" spans="1:5" x14ac:dyDescent="0.2">
      <c r="A135" s="228" t="s">
        <v>367</v>
      </c>
      <c r="B135" s="298">
        <v>80.922133166999998</v>
      </c>
      <c r="E135" s="280">
        <v>33</v>
      </c>
    </row>
    <row r="136" spans="1:5" x14ac:dyDescent="0.2">
      <c r="A136" s="228" t="s">
        <v>368</v>
      </c>
      <c r="B136" s="298">
        <v>81.924595754999999</v>
      </c>
      <c r="E136" s="280">
        <v>33</v>
      </c>
    </row>
    <row r="137" spans="1:5" x14ac:dyDescent="0.2">
      <c r="A137" s="228" t="s">
        <v>369</v>
      </c>
      <c r="B137" s="298">
        <v>82.924980907999995</v>
      </c>
      <c r="E137" s="280">
        <v>33</v>
      </c>
    </row>
    <row r="138" spans="1:5" x14ac:dyDescent="0.2">
      <c r="A138" s="228" t="s">
        <v>370</v>
      </c>
      <c r="B138" s="298">
        <v>83.929060000000007</v>
      </c>
      <c r="E138" s="280">
        <v>33</v>
      </c>
    </row>
    <row r="139" spans="1:5" x14ac:dyDescent="0.2">
      <c r="A139" s="228" t="s">
        <v>371</v>
      </c>
      <c r="B139" s="298">
        <v>84.931809999999999</v>
      </c>
      <c r="E139" s="280">
        <v>33</v>
      </c>
    </row>
    <row r="140" spans="1:5" x14ac:dyDescent="0.2">
      <c r="A140" s="228" t="s">
        <v>372</v>
      </c>
      <c r="B140" s="298">
        <v>85.936229999999995</v>
      </c>
      <c r="E140" s="280">
        <v>33</v>
      </c>
    </row>
    <row r="141" spans="1:5" x14ac:dyDescent="0.2">
      <c r="A141" s="228" t="s">
        <v>373</v>
      </c>
      <c r="B141" s="298">
        <v>86.939580000000007</v>
      </c>
      <c r="E141" s="280">
        <v>33</v>
      </c>
    </row>
    <row r="142" spans="1:5" x14ac:dyDescent="0.2">
      <c r="A142" s="228" t="s">
        <v>374</v>
      </c>
      <c r="B142" s="298">
        <v>87.944559999999996</v>
      </c>
      <c r="E142" s="280">
        <v>33</v>
      </c>
    </row>
    <row r="143" spans="1:5" x14ac:dyDescent="0.2">
      <c r="A143" s="287" t="s">
        <v>375</v>
      </c>
      <c r="B143" s="299">
        <v>210</v>
      </c>
      <c r="C143" s="288">
        <v>0</v>
      </c>
      <c r="D143" s="288">
        <v>0</v>
      </c>
      <c r="E143" s="288">
        <v>85</v>
      </c>
    </row>
    <row r="144" spans="1:5" x14ac:dyDescent="0.2">
      <c r="A144" s="228" t="s">
        <v>376</v>
      </c>
      <c r="B144" s="298">
        <v>193.99917300000001</v>
      </c>
      <c r="E144" s="280">
        <v>85</v>
      </c>
    </row>
    <row r="145" spans="1:5" x14ac:dyDescent="0.2">
      <c r="A145" s="228" t="s">
        <v>377</v>
      </c>
      <c r="B145" s="298">
        <v>194.996601</v>
      </c>
      <c r="E145" s="280">
        <v>85</v>
      </c>
    </row>
    <row r="146" spans="1:5" x14ac:dyDescent="0.2">
      <c r="A146" s="228" t="s">
        <v>378</v>
      </c>
      <c r="B146" s="298">
        <v>195.99570299999999</v>
      </c>
      <c r="E146" s="280">
        <v>85</v>
      </c>
    </row>
    <row r="147" spans="1:5" x14ac:dyDescent="0.2">
      <c r="A147" s="228" t="s">
        <v>379</v>
      </c>
      <c r="B147" s="298">
        <v>196.99329</v>
      </c>
      <c r="E147" s="280">
        <v>85</v>
      </c>
    </row>
    <row r="148" spans="1:5" x14ac:dyDescent="0.2">
      <c r="A148" s="228" t="s">
        <v>380</v>
      </c>
      <c r="B148" s="298">
        <v>197.99275599999999</v>
      </c>
      <c r="E148" s="280">
        <v>85</v>
      </c>
    </row>
    <row r="149" spans="1:5" x14ac:dyDescent="0.2">
      <c r="A149" s="228" t="s">
        <v>381</v>
      </c>
      <c r="B149" s="298">
        <v>198.990633</v>
      </c>
      <c r="E149" s="280">
        <v>85</v>
      </c>
    </row>
    <row r="150" spans="1:5" x14ac:dyDescent="0.2">
      <c r="A150" s="228" t="s">
        <v>382</v>
      </c>
      <c r="B150" s="298">
        <v>199.990293858</v>
      </c>
      <c r="E150" s="280">
        <v>85</v>
      </c>
    </row>
    <row r="151" spans="1:5" x14ac:dyDescent="0.2">
      <c r="A151" s="228" t="s">
        <v>383</v>
      </c>
      <c r="B151" s="298">
        <v>200.98848968499999</v>
      </c>
      <c r="E151" s="280">
        <v>85</v>
      </c>
    </row>
    <row r="152" spans="1:5" x14ac:dyDescent="0.2">
      <c r="A152" s="228" t="s">
        <v>384</v>
      </c>
      <c r="B152" s="298">
        <v>201.98844637299999</v>
      </c>
      <c r="E152" s="280">
        <v>85</v>
      </c>
    </row>
    <row r="153" spans="1:5" x14ac:dyDescent="0.2">
      <c r="A153" s="228" t="s">
        <v>385</v>
      </c>
      <c r="B153" s="298">
        <v>202.98684311900001</v>
      </c>
      <c r="E153" s="280">
        <v>85</v>
      </c>
    </row>
    <row r="154" spans="1:5" x14ac:dyDescent="0.2">
      <c r="A154" s="228" t="s">
        <v>386</v>
      </c>
      <c r="B154" s="298">
        <v>203.98725986599999</v>
      </c>
      <c r="E154" s="280">
        <v>85</v>
      </c>
    </row>
    <row r="155" spans="1:5" x14ac:dyDescent="0.2">
      <c r="A155" s="228" t="s">
        <v>387</v>
      </c>
      <c r="B155" s="298">
        <v>204.98603828399999</v>
      </c>
      <c r="E155" s="280">
        <v>85</v>
      </c>
    </row>
    <row r="156" spans="1:5" x14ac:dyDescent="0.2">
      <c r="A156" s="228" t="s">
        <v>388</v>
      </c>
      <c r="B156" s="298">
        <v>205.986602726</v>
      </c>
      <c r="E156" s="280">
        <v>85</v>
      </c>
    </row>
    <row r="157" spans="1:5" x14ac:dyDescent="0.2">
      <c r="A157" s="228" t="s">
        <v>389</v>
      </c>
      <c r="B157" s="298">
        <v>206.985775313</v>
      </c>
      <c r="E157" s="280">
        <v>85</v>
      </c>
    </row>
    <row r="158" spans="1:5" x14ac:dyDescent="0.2">
      <c r="A158" s="228" t="s">
        <v>390</v>
      </c>
      <c r="B158" s="298">
        <v>207.986569785</v>
      </c>
      <c r="E158" s="280">
        <v>85</v>
      </c>
    </row>
    <row r="159" spans="1:5" x14ac:dyDescent="0.2">
      <c r="A159" s="228" t="s">
        <v>391</v>
      </c>
      <c r="B159" s="298">
        <v>208.98615828199999</v>
      </c>
      <c r="E159" s="280">
        <v>85</v>
      </c>
    </row>
    <row r="160" spans="1:5" x14ac:dyDescent="0.2">
      <c r="A160" s="228" t="s">
        <v>392</v>
      </c>
      <c r="B160" s="298">
        <v>209.98713137600001</v>
      </c>
      <c r="E160" s="280">
        <v>85</v>
      </c>
    </row>
    <row r="161" spans="1:5" x14ac:dyDescent="0.2">
      <c r="A161" s="228" t="s">
        <v>393</v>
      </c>
      <c r="B161" s="298">
        <v>210.987481178</v>
      </c>
      <c r="E161" s="280">
        <v>85</v>
      </c>
    </row>
    <row r="162" spans="1:5" x14ac:dyDescent="0.2">
      <c r="A162" s="228" t="s">
        <v>394</v>
      </c>
      <c r="B162" s="298">
        <v>211.990735048</v>
      </c>
      <c r="E162" s="280">
        <v>85</v>
      </c>
    </row>
    <row r="163" spans="1:5" x14ac:dyDescent="0.2">
      <c r="A163" s="228" t="s">
        <v>395</v>
      </c>
      <c r="B163" s="298">
        <v>212.99292154</v>
      </c>
      <c r="E163" s="280">
        <v>85</v>
      </c>
    </row>
    <row r="164" spans="1:5" x14ac:dyDescent="0.2">
      <c r="A164" s="228" t="s">
        <v>396</v>
      </c>
      <c r="B164" s="298">
        <v>213.996356805</v>
      </c>
      <c r="E164" s="280">
        <v>85</v>
      </c>
    </row>
    <row r="165" spans="1:5" x14ac:dyDescent="0.2">
      <c r="A165" s="228" t="s">
        <v>397</v>
      </c>
      <c r="B165" s="298">
        <v>214.99864116099999</v>
      </c>
      <c r="E165" s="280">
        <v>85</v>
      </c>
    </row>
    <row r="166" spans="1:5" x14ac:dyDescent="0.2">
      <c r="A166" s="228" t="s">
        <v>398</v>
      </c>
      <c r="B166" s="298">
        <v>216.00240844499999</v>
      </c>
      <c r="E166" s="280">
        <v>85</v>
      </c>
    </row>
    <row r="167" spans="1:5" x14ac:dyDescent="0.2">
      <c r="A167" s="228" t="s">
        <v>399</v>
      </c>
      <c r="B167" s="298">
        <v>217.00470873800001</v>
      </c>
      <c r="E167" s="280">
        <v>85</v>
      </c>
    </row>
    <row r="168" spans="1:5" x14ac:dyDescent="0.2">
      <c r="A168" s="228" t="s">
        <v>400</v>
      </c>
      <c r="B168" s="298">
        <v>218.00868141399999</v>
      </c>
      <c r="E168" s="280">
        <v>85</v>
      </c>
    </row>
    <row r="169" spans="1:5" x14ac:dyDescent="0.2">
      <c r="A169" s="228" t="s">
        <v>401</v>
      </c>
      <c r="B169" s="298">
        <v>219.01129666899999</v>
      </c>
      <c r="E169" s="280">
        <v>85</v>
      </c>
    </row>
    <row r="170" spans="1:5" x14ac:dyDescent="0.2">
      <c r="A170" s="228" t="s">
        <v>402</v>
      </c>
      <c r="B170" s="298">
        <v>220.01530099999999</v>
      </c>
      <c r="E170" s="280">
        <v>85</v>
      </c>
    </row>
    <row r="171" spans="1:5" x14ac:dyDescent="0.2">
      <c r="A171" s="287" t="s">
        <v>403</v>
      </c>
      <c r="B171" s="299">
        <v>196.9665</v>
      </c>
      <c r="C171" s="288">
        <v>0</v>
      </c>
      <c r="D171" s="288">
        <v>0</v>
      </c>
      <c r="E171" s="288">
        <v>79</v>
      </c>
    </row>
    <row r="172" spans="1:5" x14ac:dyDescent="0.2">
      <c r="A172" s="228" t="s">
        <v>404</v>
      </c>
      <c r="B172" s="298">
        <v>171.990137</v>
      </c>
      <c r="E172" s="280">
        <v>79</v>
      </c>
    </row>
    <row r="173" spans="1:5" x14ac:dyDescent="0.2">
      <c r="A173" s="228" t="s">
        <v>405</v>
      </c>
      <c r="B173" s="298">
        <v>172.98639908999999</v>
      </c>
      <c r="E173" s="280">
        <v>79</v>
      </c>
    </row>
    <row r="174" spans="1:5" x14ac:dyDescent="0.2">
      <c r="A174" s="228" t="s">
        <v>406</v>
      </c>
      <c r="B174" s="298">
        <v>173.98491799999999</v>
      </c>
      <c r="E174" s="280">
        <v>79</v>
      </c>
    </row>
    <row r="175" spans="1:5" x14ac:dyDescent="0.2">
      <c r="A175" s="228" t="s">
        <v>407</v>
      </c>
      <c r="B175" s="298">
        <v>174.98169200000001</v>
      </c>
      <c r="E175" s="280">
        <v>79</v>
      </c>
    </row>
    <row r="176" spans="1:5" x14ac:dyDescent="0.2">
      <c r="A176" s="228" t="s">
        <v>408</v>
      </c>
      <c r="B176" s="298">
        <v>175.98026899999999</v>
      </c>
      <c r="E176" s="280">
        <v>79</v>
      </c>
    </row>
    <row r="177" spans="1:5" x14ac:dyDescent="0.2">
      <c r="A177" s="228" t="s">
        <v>409</v>
      </c>
      <c r="B177" s="298">
        <v>176.97721000000001</v>
      </c>
      <c r="E177" s="280">
        <v>79</v>
      </c>
    </row>
    <row r="178" spans="1:5" x14ac:dyDescent="0.2">
      <c r="A178" s="228" t="s">
        <v>410</v>
      </c>
      <c r="B178" s="298">
        <v>177.97597500000001</v>
      </c>
      <c r="E178" s="280">
        <v>79</v>
      </c>
    </row>
    <row r="179" spans="1:5" x14ac:dyDescent="0.2">
      <c r="A179" s="228" t="s">
        <v>411</v>
      </c>
      <c r="B179" s="298">
        <v>178.97322500000001</v>
      </c>
      <c r="E179" s="280">
        <v>79</v>
      </c>
    </row>
    <row r="180" spans="1:5" x14ac:dyDescent="0.2">
      <c r="A180" s="228" t="s">
        <v>412</v>
      </c>
      <c r="B180" s="298">
        <v>179.972396</v>
      </c>
      <c r="E180" s="280">
        <v>79</v>
      </c>
    </row>
    <row r="181" spans="1:5" x14ac:dyDescent="0.2">
      <c r="A181" s="228" t="s">
        <v>413</v>
      </c>
      <c r="B181" s="298">
        <v>180.96994799999999</v>
      </c>
      <c r="E181" s="280">
        <v>79</v>
      </c>
    </row>
    <row r="182" spans="1:5" x14ac:dyDescent="0.2">
      <c r="A182" s="228" t="s">
        <v>414</v>
      </c>
      <c r="B182" s="298">
        <v>181.96961899999999</v>
      </c>
      <c r="E182" s="280">
        <v>79</v>
      </c>
    </row>
    <row r="183" spans="1:5" x14ac:dyDescent="0.2">
      <c r="A183" s="228" t="s">
        <v>415</v>
      </c>
      <c r="B183" s="298">
        <v>182.96762000000001</v>
      </c>
      <c r="E183" s="280">
        <v>79</v>
      </c>
    </row>
    <row r="184" spans="1:5" x14ac:dyDescent="0.2">
      <c r="A184" s="228" t="s">
        <v>416</v>
      </c>
      <c r="B184" s="298">
        <v>183.967544</v>
      </c>
      <c r="E184" s="280">
        <v>79</v>
      </c>
    </row>
    <row r="185" spans="1:5" x14ac:dyDescent="0.2">
      <c r="A185" s="228" t="s">
        <v>417</v>
      </c>
      <c r="B185" s="298">
        <v>184.96574200000001</v>
      </c>
      <c r="E185" s="280">
        <v>79</v>
      </c>
    </row>
    <row r="186" spans="1:5" x14ac:dyDescent="0.2">
      <c r="A186" s="228" t="s">
        <v>418</v>
      </c>
      <c r="B186" s="298">
        <v>185.96591610900001</v>
      </c>
      <c r="E186" s="280">
        <v>79</v>
      </c>
    </row>
    <row r="187" spans="1:5" x14ac:dyDescent="0.2">
      <c r="A187" s="228" t="s">
        <v>419</v>
      </c>
      <c r="B187" s="298">
        <v>186.964562</v>
      </c>
      <c r="E187" s="280">
        <v>79</v>
      </c>
    </row>
    <row r="188" spans="1:5" x14ac:dyDescent="0.2">
      <c r="A188" s="228" t="s">
        <v>420</v>
      </c>
      <c r="B188" s="298">
        <v>187.96508499999999</v>
      </c>
      <c r="E188" s="280">
        <v>79</v>
      </c>
    </row>
    <row r="189" spans="1:5" x14ac:dyDescent="0.2">
      <c r="A189" s="228" t="s">
        <v>421</v>
      </c>
      <c r="B189" s="298">
        <v>188.96389099999999</v>
      </c>
      <c r="C189" s="280">
        <v>28.7</v>
      </c>
      <c r="D189" s="280" t="s">
        <v>218</v>
      </c>
      <c r="E189" s="280">
        <v>79</v>
      </c>
    </row>
    <row r="190" spans="1:5" x14ac:dyDescent="0.2">
      <c r="A190" s="228" t="s">
        <v>422</v>
      </c>
      <c r="B190" s="298">
        <v>189.964698384</v>
      </c>
      <c r="C190" s="280">
        <v>43</v>
      </c>
      <c r="D190" s="280" t="s">
        <v>218</v>
      </c>
      <c r="E190" s="280">
        <v>79</v>
      </c>
    </row>
    <row r="191" spans="1:5" x14ac:dyDescent="0.2">
      <c r="A191" s="228" t="s">
        <v>423</v>
      </c>
      <c r="B191" s="298">
        <v>190.963648906</v>
      </c>
      <c r="E191" s="280">
        <v>79</v>
      </c>
    </row>
    <row r="192" spans="1:5" x14ac:dyDescent="0.2">
      <c r="A192" s="228" t="s">
        <v>424</v>
      </c>
      <c r="B192" s="298">
        <v>191.964809675</v>
      </c>
      <c r="E192" s="280">
        <v>79</v>
      </c>
    </row>
    <row r="193" spans="1:5" x14ac:dyDescent="0.2">
      <c r="A193" s="228" t="s">
        <v>425</v>
      </c>
      <c r="B193" s="298">
        <v>192.96413116100001</v>
      </c>
      <c r="E193" s="280">
        <v>79</v>
      </c>
    </row>
    <row r="194" spans="1:5" x14ac:dyDescent="0.2">
      <c r="A194" s="228" t="s">
        <v>426</v>
      </c>
      <c r="B194" s="298">
        <v>193.96533833000001</v>
      </c>
      <c r="E194" s="280">
        <v>79</v>
      </c>
    </row>
    <row r="195" spans="1:5" x14ac:dyDescent="0.2">
      <c r="A195" s="228" t="s">
        <v>427</v>
      </c>
      <c r="B195" s="298">
        <v>194.96501736799999</v>
      </c>
      <c r="E195" s="280">
        <v>79</v>
      </c>
    </row>
    <row r="196" spans="1:5" x14ac:dyDescent="0.2">
      <c r="A196" s="228" t="s">
        <v>428</v>
      </c>
      <c r="B196" s="298">
        <v>195.96655082000001</v>
      </c>
      <c r="C196" s="280">
        <v>6.18</v>
      </c>
      <c r="D196" s="280" t="s">
        <v>192</v>
      </c>
      <c r="E196" s="280">
        <v>79</v>
      </c>
    </row>
    <row r="197" spans="1:5" x14ac:dyDescent="0.2">
      <c r="A197" s="228" t="s">
        <v>429</v>
      </c>
      <c r="B197" s="298">
        <v>196.96655102599999</v>
      </c>
      <c r="E197" s="280">
        <v>79</v>
      </c>
    </row>
    <row r="198" spans="1:5" x14ac:dyDescent="0.2">
      <c r="A198" s="228" t="s">
        <v>430</v>
      </c>
      <c r="B198" s="298">
        <v>197.96822484200001</v>
      </c>
      <c r="C198" s="280">
        <v>2.694</v>
      </c>
      <c r="D198" s="280" t="s">
        <v>192</v>
      </c>
      <c r="E198" s="280">
        <v>79</v>
      </c>
    </row>
    <row r="199" spans="1:5" x14ac:dyDescent="0.2">
      <c r="A199" s="228" t="s">
        <v>431</v>
      </c>
      <c r="B199" s="298">
        <v>198.96874813400001</v>
      </c>
      <c r="C199" s="280">
        <v>3.14</v>
      </c>
      <c r="D199" s="280" t="s">
        <v>192</v>
      </c>
      <c r="E199" s="280">
        <v>79</v>
      </c>
    </row>
    <row r="200" spans="1:5" x14ac:dyDescent="0.2">
      <c r="A200" s="228" t="s">
        <v>432</v>
      </c>
      <c r="B200" s="298">
        <v>199.97071768999999</v>
      </c>
      <c r="E200" s="280">
        <v>79</v>
      </c>
    </row>
    <row r="201" spans="1:5" x14ac:dyDescent="0.2">
      <c r="A201" s="228" t="s">
        <v>433</v>
      </c>
      <c r="B201" s="298">
        <v>200.97165371700001</v>
      </c>
      <c r="E201" s="280">
        <v>79</v>
      </c>
    </row>
    <row r="202" spans="1:5" x14ac:dyDescent="0.2">
      <c r="A202" s="228" t="s">
        <v>434</v>
      </c>
      <c r="B202" s="298">
        <v>201.973788214</v>
      </c>
      <c r="E202" s="280">
        <v>79</v>
      </c>
    </row>
    <row r="203" spans="1:5" x14ac:dyDescent="0.2">
      <c r="A203" s="228" t="s">
        <v>435</v>
      </c>
      <c r="B203" s="298">
        <v>202.97515324599999</v>
      </c>
      <c r="E203" s="280">
        <v>79</v>
      </c>
    </row>
    <row r="204" spans="1:5" x14ac:dyDescent="0.2">
      <c r="A204" s="228" t="s">
        <v>436</v>
      </c>
      <c r="B204" s="298">
        <v>203.977555</v>
      </c>
      <c r="E204" s="280">
        <v>79</v>
      </c>
    </row>
    <row r="205" spans="1:5" x14ac:dyDescent="0.2">
      <c r="A205" s="287" t="s">
        <v>437</v>
      </c>
      <c r="B205" s="299">
        <v>10.81</v>
      </c>
      <c r="C205" s="288">
        <v>0</v>
      </c>
      <c r="D205" s="288">
        <v>0</v>
      </c>
      <c r="E205" s="288">
        <v>5</v>
      </c>
    </row>
    <row r="206" spans="1:5" x14ac:dyDescent="0.2">
      <c r="A206" s="228" t="s">
        <v>438</v>
      </c>
      <c r="B206" s="298">
        <v>10.012937097</v>
      </c>
      <c r="C206" s="280">
        <v>0</v>
      </c>
      <c r="E206" s="280">
        <v>5</v>
      </c>
    </row>
    <row r="207" spans="1:5" x14ac:dyDescent="0.2">
      <c r="A207" s="228" t="s">
        <v>439</v>
      </c>
      <c r="B207" s="298">
        <v>11.009305513999999</v>
      </c>
      <c r="C207" s="280">
        <v>0</v>
      </c>
      <c r="E207" s="280">
        <v>5</v>
      </c>
    </row>
    <row r="208" spans="1:5" x14ac:dyDescent="0.2">
      <c r="A208" s="228" t="s">
        <v>440</v>
      </c>
      <c r="B208" s="298">
        <v>12.014352111000001</v>
      </c>
      <c r="C208" s="280">
        <v>20.2</v>
      </c>
      <c r="D208" s="280" t="s">
        <v>184</v>
      </c>
      <c r="E208" s="280">
        <v>5</v>
      </c>
    </row>
    <row r="209" spans="1:5" x14ac:dyDescent="0.2">
      <c r="A209" s="228" t="s">
        <v>441</v>
      </c>
      <c r="B209" s="298">
        <v>13.017780315</v>
      </c>
      <c r="C209" s="280">
        <v>17.399999999999999</v>
      </c>
      <c r="D209" s="280" t="s">
        <v>184</v>
      </c>
      <c r="E209" s="280">
        <v>5</v>
      </c>
    </row>
    <row r="210" spans="1:5" x14ac:dyDescent="0.2">
      <c r="A210" s="228" t="s">
        <v>442</v>
      </c>
      <c r="B210" s="298">
        <v>14.025404066</v>
      </c>
      <c r="C210" s="280">
        <v>14</v>
      </c>
      <c r="D210" s="280" t="s">
        <v>184</v>
      </c>
      <c r="E210" s="280">
        <v>5</v>
      </c>
    </row>
    <row r="211" spans="1:5" x14ac:dyDescent="0.2">
      <c r="A211" s="228" t="s">
        <v>443</v>
      </c>
      <c r="B211" s="298">
        <v>15.031097285</v>
      </c>
      <c r="C211" s="280">
        <v>9</v>
      </c>
      <c r="D211" s="280" t="s">
        <v>184</v>
      </c>
      <c r="E211" s="280">
        <v>5</v>
      </c>
    </row>
    <row r="212" spans="1:5" x14ac:dyDescent="0.2">
      <c r="A212" s="228" t="s">
        <v>444</v>
      </c>
      <c r="B212" s="298">
        <v>16.039870000000001</v>
      </c>
      <c r="E212" s="280">
        <v>5</v>
      </c>
    </row>
    <row r="213" spans="1:5" x14ac:dyDescent="0.2">
      <c r="A213" s="228" t="s">
        <v>445</v>
      </c>
      <c r="B213" s="298">
        <v>17.046931399000002</v>
      </c>
      <c r="E213" s="280">
        <v>5</v>
      </c>
    </row>
    <row r="214" spans="1:5" x14ac:dyDescent="0.2">
      <c r="A214" s="228" t="s">
        <v>446</v>
      </c>
      <c r="B214" s="298">
        <v>18.056170000000002</v>
      </c>
      <c r="E214" s="280">
        <v>5</v>
      </c>
    </row>
    <row r="215" spans="1:5" x14ac:dyDescent="0.2">
      <c r="A215" s="228" t="s">
        <v>447</v>
      </c>
      <c r="B215" s="298">
        <v>19.06373</v>
      </c>
      <c r="E215" s="280">
        <v>5</v>
      </c>
    </row>
    <row r="216" spans="1:5" x14ac:dyDescent="0.2">
      <c r="A216" s="228" t="s">
        <v>448</v>
      </c>
      <c r="B216" s="298">
        <v>7.029917459</v>
      </c>
      <c r="C216" s="282">
        <v>4.0000000000000002E-22</v>
      </c>
      <c r="D216" s="280" t="s">
        <v>168</v>
      </c>
      <c r="E216" s="280">
        <v>5</v>
      </c>
    </row>
    <row r="217" spans="1:5" x14ac:dyDescent="0.2">
      <c r="A217" s="228" t="s">
        <v>449</v>
      </c>
      <c r="B217" s="298">
        <v>8.0246067270000001</v>
      </c>
      <c r="C217" s="280">
        <v>770</v>
      </c>
      <c r="D217" s="280" t="s">
        <v>184</v>
      </c>
      <c r="E217" s="280">
        <v>5</v>
      </c>
    </row>
    <row r="218" spans="1:5" x14ac:dyDescent="0.2">
      <c r="A218" s="228" t="s">
        <v>450</v>
      </c>
      <c r="B218" s="298">
        <v>9.0133289189999992</v>
      </c>
      <c r="C218" s="282">
        <v>7.9999999999999998E-19</v>
      </c>
      <c r="D218" s="280" t="s">
        <v>168</v>
      </c>
      <c r="E218" s="280">
        <v>5</v>
      </c>
    </row>
    <row r="219" spans="1:5" x14ac:dyDescent="0.2">
      <c r="A219" s="287" t="s">
        <v>451</v>
      </c>
      <c r="B219" s="299">
        <v>137.33000000000001</v>
      </c>
      <c r="C219" s="288">
        <v>0</v>
      </c>
      <c r="D219" s="288">
        <v>0</v>
      </c>
      <c r="E219" s="288">
        <v>56</v>
      </c>
    </row>
    <row r="220" spans="1:5" x14ac:dyDescent="0.2">
      <c r="A220" s="228" t="s">
        <v>452</v>
      </c>
      <c r="B220" s="298">
        <v>114.94771</v>
      </c>
      <c r="E220" s="280">
        <v>56</v>
      </c>
    </row>
    <row r="221" spans="1:5" x14ac:dyDescent="0.2">
      <c r="A221" s="228" t="s">
        <v>453</v>
      </c>
      <c r="B221" s="298">
        <v>115.94168000000001</v>
      </c>
      <c r="E221" s="280">
        <v>56</v>
      </c>
    </row>
    <row r="222" spans="1:5" x14ac:dyDescent="0.2">
      <c r="A222" s="228" t="s">
        <v>454</v>
      </c>
      <c r="B222" s="298">
        <v>116.938849</v>
      </c>
      <c r="E222" s="280">
        <v>56</v>
      </c>
    </row>
    <row r="223" spans="1:5" x14ac:dyDescent="0.2">
      <c r="A223" s="228" t="s">
        <v>455</v>
      </c>
      <c r="B223" s="298">
        <v>117.93344</v>
      </c>
      <c r="E223" s="280">
        <v>56</v>
      </c>
    </row>
    <row r="224" spans="1:5" x14ac:dyDescent="0.2">
      <c r="A224" s="228" t="s">
        <v>456</v>
      </c>
      <c r="B224" s="298">
        <v>118.931036482</v>
      </c>
      <c r="E224" s="280">
        <v>56</v>
      </c>
    </row>
    <row r="225" spans="1:5" x14ac:dyDescent="0.2">
      <c r="A225" s="228" t="s">
        <v>457</v>
      </c>
      <c r="B225" s="298">
        <v>119.92603066700001</v>
      </c>
      <c r="E225" s="280">
        <v>56</v>
      </c>
    </row>
    <row r="226" spans="1:5" x14ac:dyDescent="0.2">
      <c r="A226" s="228" t="s">
        <v>458</v>
      </c>
      <c r="B226" s="298">
        <v>120.924492372</v>
      </c>
      <c r="E226" s="280">
        <v>56</v>
      </c>
    </row>
    <row r="227" spans="1:5" x14ac:dyDescent="0.2">
      <c r="A227" s="228" t="s">
        <v>459</v>
      </c>
      <c r="B227" s="298">
        <v>121.92026</v>
      </c>
      <c r="E227" s="280">
        <v>56</v>
      </c>
    </row>
    <row r="228" spans="1:5" x14ac:dyDescent="0.2">
      <c r="A228" s="228" t="s">
        <v>460</v>
      </c>
      <c r="B228" s="298">
        <v>122.91885000000001</v>
      </c>
      <c r="E228" s="280">
        <v>56</v>
      </c>
    </row>
    <row r="229" spans="1:5" x14ac:dyDescent="0.2">
      <c r="A229" s="228" t="s">
        <v>461</v>
      </c>
      <c r="B229" s="298">
        <v>123.91508872599999</v>
      </c>
      <c r="E229" s="280">
        <v>56</v>
      </c>
    </row>
    <row r="230" spans="1:5" x14ac:dyDescent="0.2">
      <c r="A230" s="228" t="s">
        <v>462</v>
      </c>
      <c r="B230" s="298">
        <v>124.914612801</v>
      </c>
      <c r="E230" s="280">
        <v>56</v>
      </c>
    </row>
    <row r="231" spans="1:5" x14ac:dyDescent="0.2">
      <c r="A231" s="228" t="s">
        <v>463</v>
      </c>
      <c r="B231" s="298">
        <v>125.911244435</v>
      </c>
      <c r="E231" s="280">
        <v>56</v>
      </c>
    </row>
    <row r="232" spans="1:5" x14ac:dyDescent="0.2">
      <c r="A232" s="228" t="s">
        <v>464</v>
      </c>
      <c r="B232" s="298">
        <v>126.91111624200001</v>
      </c>
      <c r="E232" s="280">
        <v>56</v>
      </c>
    </row>
    <row r="233" spans="1:5" x14ac:dyDescent="0.2">
      <c r="A233" s="228" t="s">
        <v>465</v>
      </c>
      <c r="B233" s="298">
        <v>127.908309182</v>
      </c>
      <c r="E233" s="280">
        <v>56</v>
      </c>
    </row>
    <row r="234" spans="1:5" x14ac:dyDescent="0.2">
      <c r="A234" s="228" t="s">
        <v>466</v>
      </c>
      <c r="B234" s="298">
        <v>128.90867549800001</v>
      </c>
      <c r="E234" s="280">
        <v>56</v>
      </c>
    </row>
    <row r="235" spans="1:5" x14ac:dyDescent="0.2">
      <c r="A235" s="228" t="s">
        <v>467</v>
      </c>
      <c r="B235" s="298">
        <v>129.906310926</v>
      </c>
      <c r="E235" s="280">
        <v>56</v>
      </c>
    </row>
    <row r="236" spans="1:5" x14ac:dyDescent="0.2">
      <c r="A236" s="228" t="s">
        <v>468</v>
      </c>
      <c r="B236" s="298">
        <v>130.90693124500001</v>
      </c>
      <c r="E236" s="280">
        <v>56</v>
      </c>
    </row>
    <row r="237" spans="1:5" x14ac:dyDescent="0.2">
      <c r="A237" s="228" t="s">
        <v>469</v>
      </c>
      <c r="B237" s="298">
        <v>131.90505644300001</v>
      </c>
      <c r="E237" s="280">
        <v>56</v>
      </c>
    </row>
    <row r="238" spans="1:5" x14ac:dyDescent="0.2">
      <c r="A238" s="228" t="s">
        <v>470</v>
      </c>
      <c r="B238" s="298">
        <v>132.90600265899999</v>
      </c>
      <c r="E238" s="280">
        <v>56</v>
      </c>
    </row>
    <row r="239" spans="1:5" x14ac:dyDescent="0.2">
      <c r="A239" s="228" t="s">
        <v>471</v>
      </c>
      <c r="B239" s="298">
        <v>133.904503629</v>
      </c>
      <c r="E239" s="280">
        <v>56</v>
      </c>
    </row>
    <row r="240" spans="1:5" x14ac:dyDescent="0.2">
      <c r="A240" s="228" t="s">
        <v>472</v>
      </c>
      <c r="B240" s="298">
        <v>134.90568383300001</v>
      </c>
      <c r="E240" s="280">
        <v>56</v>
      </c>
    </row>
    <row r="241" spans="1:5" x14ac:dyDescent="0.2">
      <c r="A241" s="228" t="s">
        <v>473</v>
      </c>
      <c r="B241" s="298">
        <v>135.90457119199999</v>
      </c>
      <c r="E241" s="280">
        <v>56</v>
      </c>
    </row>
    <row r="242" spans="1:5" x14ac:dyDescent="0.2">
      <c r="A242" s="228" t="s">
        <v>474</v>
      </c>
      <c r="B242" s="298">
        <v>136.905822476</v>
      </c>
      <c r="E242" s="280">
        <v>56</v>
      </c>
    </row>
    <row r="243" spans="1:5" x14ac:dyDescent="0.2">
      <c r="A243" s="228" t="s">
        <v>475</v>
      </c>
      <c r="B243" s="298">
        <v>137.905242335</v>
      </c>
      <c r="E243" s="280">
        <v>56</v>
      </c>
    </row>
    <row r="244" spans="1:5" x14ac:dyDescent="0.2">
      <c r="A244" s="228" t="s">
        <v>476</v>
      </c>
      <c r="B244" s="298">
        <v>138.90883644600001</v>
      </c>
      <c r="E244" s="280">
        <v>56</v>
      </c>
    </row>
    <row r="245" spans="1:5" x14ac:dyDescent="0.2">
      <c r="A245" s="228" t="s">
        <v>477</v>
      </c>
      <c r="B245" s="298">
        <v>139.91059758700001</v>
      </c>
      <c r="E245" s="280">
        <v>56</v>
      </c>
    </row>
    <row r="246" spans="1:5" x14ac:dyDescent="0.2">
      <c r="A246" s="228" t="s">
        <v>478</v>
      </c>
      <c r="B246" s="298">
        <v>140.91441035299999</v>
      </c>
      <c r="E246" s="280">
        <v>56</v>
      </c>
    </row>
    <row r="247" spans="1:5" x14ac:dyDescent="0.2">
      <c r="A247" s="228" t="s">
        <v>479</v>
      </c>
      <c r="B247" s="298">
        <v>141.91645172700001</v>
      </c>
      <c r="E247" s="280">
        <v>56</v>
      </c>
    </row>
    <row r="248" spans="1:5" x14ac:dyDescent="0.2">
      <c r="A248" s="228" t="s">
        <v>480</v>
      </c>
      <c r="B248" s="298">
        <v>142.920613769</v>
      </c>
      <c r="E248" s="280">
        <v>56</v>
      </c>
    </row>
    <row r="249" spans="1:5" x14ac:dyDescent="0.2">
      <c r="A249" s="228" t="s">
        <v>481</v>
      </c>
      <c r="B249" s="298">
        <v>143.92294081700001</v>
      </c>
      <c r="E249" s="280">
        <v>56</v>
      </c>
    </row>
    <row r="250" spans="1:5" x14ac:dyDescent="0.2">
      <c r="A250" s="228" t="s">
        <v>482</v>
      </c>
      <c r="B250" s="298">
        <v>144.926944639</v>
      </c>
      <c r="E250" s="280">
        <v>56</v>
      </c>
    </row>
    <row r="251" spans="1:5" x14ac:dyDescent="0.2">
      <c r="A251" s="228" t="s">
        <v>483</v>
      </c>
      <c r="B251" s="298">
        <v>145.93017778199999</v>
      </c>
      <c r="E251" s="280">
        <v>56</v>
      </c>
    </row>
    <row r="252" spans="1:5" x14ac:dyDescent="0.2">
      <c r="A252" s="228" t="s">
        <v>484</v>
      </c>
      <c r="B252" s="298">
        <v>146.93399309399999</v>
      </c>
      <c r="E252" s="280">
        <v>56</v>
      </c>
    </row>
    <row r="253" spans="1:5" x14ac:dyDescent="0.2">
      <c r="A253" s="228" t="s">
        <v>485</v>
      </c>
      <c r="B253" s="298">
        <v>147.93768293299999</v>
      </c>
      <c r="E253" s="280">
        <v>56</v>
      </c>
    </row>
    <row r="254" spans="1:5" x14ac:dyDescent="0.2">
      <c r="A254" s="228" t="s">
        <v>486</v>
      </c>
      <c r="B254" s="298">
        <v>148.94207</v>
      </c>
      <c r="E254" s="280">
        <v>56</v>
      </c>
    </row>
    <row r="255" spans="1:5" x14ac:dyDescent="0.2">
      <c r="A255" s="228" t="s">
        <v>487</v>
      </c>
      <c r="B255" s="298">
        <v>149.94556</v>
      </c>
      <c r="E255" s="280">
        <v>56</v>
      </c>
    </row>
    <row r="256" spans="1:5" x14ac:dyDescent="0.2">
      <c r="A256" s="287" t="s">
        <v>488</v>
      </c>
      <c r="B256" s="299">
        <v>9.0121800000000007</v>
      </c>
      <c r="C256" s="288">
        <v>0</v>
      </c>
      <c r="D256" s="288">
        <v>0</v>
      </c>
      <c r="E256" s="288">
        <v>4</v>
      </c>
    </row>
    <row r="257" spans="1:5" x14ac:dyDescent="0.2">
      <c r="A257" s="228" t="s">
        <v>489</v>
      </c>
      <c r="B257" s="298">
        <v>10.013533833</v>
      </c>
      <c r="C257" s="282">
        <v>1600000</v>
      </c>
      <c r="D257" s="280" t="s">
        <v>195</v>
      </c>
      <c r="E257" s="280">
        <v>4</v>
      </c>
    </row>
    <row r="258" spans="1:5" x14ac:dyDescent="0.2">
      <c r="A258" s="228" t="s">
        <v>490</v>
      </c>
      <c r="B258" s="298">
        <v>11.021657766000001</v>
      </c>
      <c r="C258" s="280">
        <v>13.8</v>
      </c>
      <c r="D258" s="280" t="s">
        <v>168</v>
      </c>
      <c r="E258" s="280">
        <v>4</v>
      </c>
    </row>
    <row r="259" spans="1:5" x14ac:dyDescent="0.2">
      <c r="A259" s="228" t="s">
        <v>491</v>
      </c>
      <c r="B259" s="298">
        <v>12.026920744</v>
      </c>
      <c r="C259" s="280">
        <v>24</v>
      </c>
      <c r="D259" s="280" t="s">
        <v>184</v>
      </c>
      <c r="E259" s="280">
        <v>4</v>
      </c>
    </row>
    <row r="260" spans="1:5" x14ac:dyDescent="0.2">
      <c r="A260" s="228" t="s">
        <v>492</v>
      </c>
      <c r="B260" s="298">
        <v>13.037744151</v>
      </c>
      <c r="C260" s="280" t="s">
        <v>171</v>
      </c>
      <c r="E260" s="280">
        <v>4</v>
      </c>
    </row>
    <row r="261" spans="1:5" x14ac:dyDescent="0.2">
      <c r="A261" s="228" t="s">
        <v>493</v>
      </c>
      <c r="B261" s="298">
        <v>14.042815522</v>
      </c>
      <c r="C261" s="280">
        <v>4</v>
      </c>
      <c r="D261" s="280" t="s">
        <v>184</v>
      </c>
      <c r="E261" s="280">
        <v>4</v>
      </c>
    </row>
    <row r="262" spans="1:5" x14ac:dyDescent="0.2">
      <c r="A262" s="228" t="s">
        <v>494</v>
      </c>
      <c r="B262" s="298">
        <v>6.0197258280000003</v>
      </c>
      <c r="C262" s="282">
        <v>4.9999999999999997E-21</v>
      </c>
      <c r="D262" s="280" t="s">
        <v>168</v>
      </c>
      <c r="E262" s="280">
        <v>4</v>
      </c>
    </row>
    <row r="263" spans="1:5" x14ac:dyDescent="0.2">
      <c r="A263" s="228" t="s">
        <v>495</v>
      </c>
      <c r="B263" s="298">
        <v>7.0169292690000002</v>
      </c>
      <c r="C263" s="280">
        <v>53.28</v>
      </c>
      <c r="D263" s="280" t="s">
        <v>192</v>
      </c>
      <c r="E263" s="280">
        <v>4</v>
      </c>
    </row>
    <row r="264" spans="1:5" x14ac:dyDescent="0.2">
      <c r="A264" s="228" t="s">
        <v>496</v>
      </c>
      <c r="B264" s="298">
        <v>8.0053050950000006</v>
      </c>
      <c r="C264" s="282">
        <v>7.0000000000000003E-17</v>
      </c>
      <c r="D264" s="280" t="s">
        <v>168</v>
      </c>
      <c r="E264" s="280">
        <v>4</v>
      </c>
    </row>
    <row r="265" spans="1:5" x14ac:dyDescent="0.2">
      <c r="A265" s="228" t="s">
        <v>497</v>
      </c>
      <c r="B265" s="298">
        <v>9.0121822480000002</v>
      </c>
      <c r="C265" s="280">
        <v>0</v>
      </c>
      <c r="E265" s="280">
        <v>4</v>
      </c>
    </row>
    <row r="266" spans="1:5" x14ac:dyDescent="0.2">
      <c r="A266" s="287" t="s">
        <v>498</v>
      </c>
      <c r="B266" s="299">
        <v>208.9804</v>
      </c>
      <c r="C266" s="288">
        <v>0</v>
      </c>
      <c r="D266" s="288">
        <v>0</v>
      </c>
      <c r="E266" s="288">
        <v>83</v>
      </c>
    </row>
    <row r="267" spans="1:5" x14ac:dyDescent="0.2">
      <c r="A267" s="228" t="s">
        <v>499</v>
      </c>
      <c r="B267" s="298">
        <v>184.99808999999999</v>
      </c>
      <c r="E267" s="280">
        <v>83</v>
      </c>
    </row>
    <row r="268" spans="1:5" x14ac:dyDescent="0.2">
      <c r="A268" s="228" t="s">
        <v>500</v>
      </c>
      <c r="B268" s="298">
        <v>185.99647999999999</v>
      </c>
      <c r="E268" s="280">
        <v>83</v>
      </c>
    </row>
    <row r="269" spans="1:5" x14ac:dyDescent="0.2">
      <c r="A269" s="228" t="s">
        <v>501</v>
      </c>
      <c r="B269" s="298">
        <v>186.993458</v>
      </c>
      <c r="E269" s="280">
        <v>83</v>
      </c>
    </row>
    <row r="270" spans="1:5" x14ac:dyDescent="0.2">
      <c r="A270" s="228" t="s">
        <v>502</v>
      </c>
      <c r="B270" s="298">
        <v>187.99217300000001</v>
      </c>
      <c r="E270" s="280">
        <v>83</v>
      </c>
    </row>
    <row r="271" spans="1:5" x14ac:dyDescent="0.2">
      <c r="A271" s="228" t="s">
        <v>503</v>
      </c>
      <c r="B271" s="298">
        <v>188.989507</v>
      </c>
      <c r="E271" s="280">
        <v>83</v>
      </c>
    </row>
    <row r="272" spans="1:5" x14ac:dyDescent="0.2">
      <c r="A272" s="228" t="s">
        <v>504</v>
      </c>
      <c r="B272" s="298">
        <v>189.988518</v>
      </c>
      <c r="E272" s="280">
        <v>83</v>
      </c>
    </row>
    <row r="273" spans="1:5" x14ac:dyDescent="0.2">
      <c r="A273" s="228" t="s">
        <v>505</v>
      </c>
      <c r="B273" s="298">
        <v>190.986053</v>
      </c>
      <c r="E273" s="280">
        <v>83</v>
      </c>
    </row>
    <row r="274" spans="1:5" x14ac:dyDescent="0.2">
      <c r="A274" s="228" t="s">
        <v>506</v>
      </c>
      <c r="B274" s="298">
        <v>191.98536799999999</v>
      </c>
      <c r="E274" s="280">
        <v>83</v>
      </c>
    </row>
    <row r="275" spans="1:5" x14ac:dyDescent="0.2">
      <c r="A275" s="228" t="s">
        <v>507</v>
      </c>
      <c r="B275" s="298">
        <v>192.98306099999999</v>
      </c>
      <c r="E275" s="280">
        <v>83</v>
      </c>
    </row>
    <row r="276" spans="1:5" x14ac:dyDescent="0.2">
      <c r="A276" s="228" t="s">
        <v>508</v>
      </c>
      <c r="B276" s="298">
        <v>193.982752</v>
      </c>
      <c r="E276" s="280">
        <v>83</v>
      </c>
    </row>
    <row r="277" spans="1:5" x14ac:dyDescent="0.2">
      <c r="A277" s="228" t="s">
        <v>509</v>
      </c>
      <c r="B277" s="298">
        <v>194.980751</v>
      </c>
      <c r="E277" s="280">
        <v>83</v>
      </c>
    </row>
    <row r="278" spans="1:5" x14ac:dyDescent="0.2">
      <c r="A278" s="228" t="s">
        <v>510</v>
      </c>
      <c r="B278" s="298">
        <v>195.98060898099999</v>
      </c>
      <c r="E278" s="280">
        <v>83</v>
      </c>
    </row>
    <row r="279" spans="1:5" x14ac:dyDescent="0.2">
      <c r="A279" s="228" t="s">
        <v>511</v>
      </c>
      <c r="B279" s="298">
        <v>196.97893699599999</v>
      </c>
      <c r="E279" s="280">
        <v>83</v>
      </c>
    </row>
    <row r="280" spans="1:5" x14ac:dyDescent="0.2">
      <c r="A280" s="228" t="s">
        <v>512</v>
      </c>
      <c r="B280" s="298">
        <v>197.97902248599999</v>
      </c>
      <c r="E280" s="280">
        <v>83</v>
      </c>
    </row>
    <row r="281" spans="1:5" x14ac:dyDescent="0.2">
      <c r="A281" s="228" t="s">
        <v>513</v>
      </c>
      <c r="B281" s="298">
        <v>198.977572968</v>
      </c>
      <c r="E281" s="280">
        <v>83</v>
      </c>
    </row>
    <row r="282" spans="1:5" x14ac:dyDescent="0.2">
      <c r="A282" s="228" t="s">
        <v>514</v>
      </c>
      <c r="B282" s="298">
        <v>199.978140739</v>
      </c>
      <c r="E282" s="280">
        <v>83</v>
      </c>
    </row>
    <row r="283" spans="1:5" x14ac:dyDescent="0.2">
      <c r="A283" s="228" t="s">
        <v>515</v>
      </c>
      <c r="B283" s="298">
        <v>200.97697265299999</v>
      </c>
      <c r="E283" s="280">
        <v>83</v>
      </c>
    </row>
    <row r="284" spans="1:5" x14ac:dyDescent="0.2">
      <c r="A284" s="228" t="s">
        <v>516</v>
      </c>
      <c r="B284" s="298">
        <v>201.97767798800001</v>
      </c>
      <c r="E284" s="280">
        <v>83</v>
      </c>
    </row>
    <row r="285" spans="1:5" x14ac:dyDescent="0.2">
      <c r="A285" s="228" t="s">
        <v>517</v>
      </c>
      <c r="B285" s="298">
        <v>202.976867572</v>
      </c>
      <c r="E285" s="280">
        <v>83</v>
      </c>
    </row>
    <row r="286" spans="1:5" x14ac:dyDescent="0.2">
      <c r="A286" s="228" t="s">
        <v>518</v>
      </c>
      <c r="B286" s="298">
        <v>203.97779243799999</v>
      </c>
      <c r="E286" s="280">
        <v>83</v>
      </c>
    </row>
    <row r="287" spans="1:5" x14ac:dyDescent="0.2">
      <c r="A287" s="228" t="s">
        <v>519</v>
      </c>
      <c r="B287" s="298">
        <v>204.97737429399999</v>
      </c>
      <c r="E287" s="280">
        <v>83</v>
      </c>
    </row>
    <row r="288" spans="1:5" x14ac:dyDescent="0.2">
      <c r="A288" s="228" t="s">
        <v>520</v>
      </c>
      <c r="B288" s="298">
        <v>205.97848260699999</v>
      </c>
      <c r="E288" s="280">
        <v>83</v>
      </c>
    </row>
    <row r="289" spans="1:5" x14ac:dyDescent="0.2">
      <c r="A289" s="228" t="s">
        <v>521</v>
      </c>
      <c r="B289" s="298">
        <v>206.97845558899999</v>
      </c>
      <c r="E289" s="280">
        <v>83</v>
      </c>
    </row>
    <row r="290" spans="1:5" x14ac:dyDescent="0.2">
      <c r="A290" s="228" t="s">
        <v>522</v>
      </c>
      <c r="B290" s="298">
        <v>207.97972709000001</v>
      </c>
      <c r="E290" s="280">
        <v>83</v>
      </c>
    </row>
    <row r="291" spans="1:5" x14ac:dyDescent="0.2">
      <c r="A291" s="228" t="s">
        <v>523</v>
      </c>
      <c r="B291" s="298">
        <v>208.98038363200001</v>
      </c>
      <c r="E291" s="280">
        <v>83</v>
      </c>
    </row>
    <row r="292" spans="1:5" x14ac:dyDescent="0.2">
      <c r="A292" s="228" t="s">
        <v>524</v>
      </c>
      <c r="B292" s="298">
        <v>209.984105336</v>
      </c>
      <c r="E292" s="280">
        <v>83</v>
      </c>
    </row>
    <row r="293" spans="1:5" x14ac:dyDescent="0.2">
      <c r="A293" s="228" t="s">
        <v>525</v>
      </c>
      <c r="B293" s="298">
        <v>210.98725805500001</v>
      </c>
      <c r="E293" s="280">
        <v>83</v>
      </c>
    </row>
    <row r="294" spans="1:5" x14ac:dyDescent="0.2">
      <c r="A294" s="228" t="s">
        <v>526</v>
      </c>
      <c r="B294" s="298">
        <v>211.99127123700001</v>
      </c>
      <c r="E294" s="280">
        <v>83</v>
      </c>
    </row>
    <row r="295" spans="1:5" x14ac:dyDescent="0.2">
      <c r="A295" s="228" t="s">
        <v>527</v>
      </c>
      <c r="B295" s="298">
        <v>212.994373978</v>
      </c>
      <c r="E295" s="280">
        <v>83</v>
      </c>
    </row>
    <row r="296" spans="1:5" x14ac:dyDescent="0.2">
      <c r="A296" s="228" t="s">
        <v>528</v>
      </c>
      <c r="B296" s="298">
        <v>213.99869862</v>
      </c>
      <c r="E296" s="280">
        <v>83</v>
      </c>
    </row>
    <row r="297" spans="1:5" x14ac:dyDescent="0.2">
      <c r="A297" s="228" t="s">
        <v>529</v>
      </c>
      <c r="B297" s="298">
        <v>215.00183253899999</v>
      </c>
      <c r="E297" s="280">
        <v>83</v>
      </c>
    </row>
    <row r="298" spans="1:5" x14ac:dyDescent="0.2">
      <c r="A298" s="228" t="s">
        <v>530</v>
      </c>
      <c r="B298" s="298">
        <v>216.00619900000001</v>
      </c>
      <c r="E298" s="280">
        <v>83</v>
      </c>
    </row>
    <row r="299" spans="1:5" x14ac:dyDescent="0.2">
      <c r="A299" s="287" t="s">
        <v>3167</v>
      </c>
      <c r="B299" s="299">
        <v>247</v>
      </c>
      <c r="C299" s="288"/>
      <c r="D299" s="288"/>
      <c r="E299" s="288">
        <v>97</v>
      </c>
    </row>
    <row r="300" spans="1:5" x14ac:dyDescent="0.2">
      <c r="A300" s="228" t="s">
        <v>531</v>
      </c>
      <c r="B300" s="298">
        <v>237.05712700000001</v>
      </c>
      <c r="E300" s="280">
        <v>97</v>
      </c>
    </row>
    <row r="301" spans="1:5" x14ac:dyDescent="0.2">
      <c r="A301" s="228" t="s">
        <v>532</v>
      </c>
      <c r="B301" s="298">
        <v>238.05833200000001</v>
      </c>
      <c r="E301" s="280">
        <v>97</v>
      </c>
    </row>
    <row r="302" spans="1:5" x14ac:dyDescent="0.2">
      <c r="A302" s="228" t="s">
        <v>533</v>
      </c>
      <c r="B302" s="298">
        <v>239.05836199999999</v>
      </c>
      <c r="E302" s="280">
        <v>97</v>
      </c>
    </row>
    <row r="303" spans="1:5" x14ac:dyDescent="0.2">
      <c r="A303" s="228" t="s">
        <v>534</v>
      </c>
      <c r="B303" s="298">
        <v>240.05974800000001</v>
      </c>
      <c r="E303" s="280">
        <v>97</v>
      </c>
    </row>
    <row r="304" spans="1:5" x14ac:dyDescent="0.2">
      <c r="A304" s="228" t="s">
        <v>535</v>
      </c>
      <c r="B304" s="298">
        <v>241.06022200000001</v>
      </c>
      <c r="E304" s="280">
        <v>97</v>
      </c>
    </row>
    <row r="305" spans="1:5" x14ac:dyDescent="0.2">
      <c r="A305" s="228" t="s">
        <v>536</v>
      </c>
      <c r="B305" s="298">
        <v>242.062049</v>
      </c>
      <c r="E305" s="280">
        <v>97</v>
      </c>
    </row>
    <row r="306" spans="1:5" x14ac:dyDescent="0.2">
      <c r="A306" s="228" t="s">
        <v>537</v>
      </c>
      <c r="B306" s="298">
        <v>243.06300066</v>
      </c>
      <c r="E306" s="280">
        <v>97</v>
      </c>
    </row>
    <row r="307" spans="1:5" x14ac:dyDescent="0.2">
      <c r="A307" s="228" t="s">
        <v>538</v>
      </c>
      <c r="B307" s="298">
        <v>244.06516697199999</v>
      </c>
      <c r="E307" s="280">
        <v>97</v>
      </c>
    </row>
    <row r="308" spans="1:5" x14ac:dyDescent="0.2">
      <c r="A308" s="228" t="s">
        <v>539</v>
      </c>
      <c r="B308" s="298">
        <v>245.066354477</v>
      </c>
      <c r="E308" s="280">
        <v>97</v>
      </c>
    </row>
    <row r="309" spans="1:5" x14ac:dyDescent="0.2">
      <c r="A309" s="228" t="s">
        <v>540</v>
      </c>
      <c r="B309" s="298">
        <v>246.068665869</v>
      </c>
      <c r="E309" s="280">
        <v>97</v>
      </c>
    </row>
    <row r="310" spans="1:5" x14ac:dyDescent="0.2">
      <c r="A310" s="228" t="s">
        <v>541</v>
      </c>
      <c r="B310" s="298">
        <v>247.070297622</v>
      </c>
      <c r="E310" s="280">
        <v>97</v>
      </c>
    </row>
    <row r="311" spans="1:5" x14ac:dyDescent="0.2">
      <c r="A311" s="228" t="s">
        <v>542</v>
      </c>
      <c r="B311" s="298">
        <v>248.073111154</v>
      </c>
      <c r="E311" s="280">
        <v>97</v>
      </c>
    </row>
    <row r="312" spans="1:5" x14ac:dyDescent="0.2">
      <c r="A312" s="228" t="s">
        <v>543</v>
      </c>
      <c r="B312" s="298">
        <v>249.074979974</v>
      </c>
      <c r="E312" s="280">
        <v>97</v>
      </c>
    </row>
    <row r="313" spans="1:5" x14ac:dyDescent="0.2">
      <c r="A313" s="228" t="s">
        <v>544</v>
      </c>
      <c r="B313" s="298">
        <v>250.07830948</v>
      </c>
      <c r="E313" s="280">
        <v>97</v>
      </c>
    </row>
    <row r="314" spans="1:5" x14ac:dyDescent="0.2">
      <c r="A314" s="228" t="s">
        <v>545</v>
      </c>
      <c r="B314" s="298">
        <v>251.08075247799999</v>
      </c>
      <c r="E314" s="280">
        <v>97</v>
      </c>
    </row>
    <row r="315" spans="1:5" x14ac:dyDescent="0.2">
      <c r="A315" s="228" t="s">
        <v>546</v>
      </c>
      <c r="B315" s="298">
        <v>252.08430200000001</v>
      </c>
      <c r="E315" s="280">
        <v>97</v>
      </c>
    </row>
    <row r="316" spans="1:5" x14ac:dyDescent="0.2">
      <c r="A316" s="228" t="s">
        <v>547</v>
      </c>
      <c r="B316" s="298">
        <v>253.08673999999999</v>
      </c>
      <c r="E316" s="280">
        <v>97</v>
      </c>
    </row>
    <row r="317" spans="1:5" x14ac:dyDescent="0.2">
      <c r="A317" s="287" t="s">
        <v>548</v>
      </c>
      <c r="B317" s="299">
        <v>79.903999999999996</v>
      </c>
      <c r="C317" s="288">
        <v>0</v>
      </c>
      <c r="D317" s="288">
        <v>0</v>
      </c>
      <c r="E317" s="288">
        <v>35</v>
      </c>
    </row>
    <row r="318" spans="1:5" x14ac:dyDescent="0.2">
      <c r="A318" s="228" t="s">
        <v>549</v>
      </c>
      <c r="B318" s="298">
        <v>67.958247999999998</v>
      </c>
      <c r="E318" s="280">
        <v>35</v>
      </c>
    </row>
    <row r="319" spans="1:5" x14ac:dyDescent="0.2">
      <c r="A319" s="228" t="s">
        <v>550</v>
      </c>
      <c r="B319" s="298">
        <v>68.949888000000001</v>
      </c>
      <c r="E319" s="280">
        <v>35</v>
      </c>
    </row>
    <row r="320" spans="1:5" x14ac:dyDescent="0.2">
      <c r="A320" s="228" t="s">
        <v>551</v>
      </c>
      <c r="B320" s="298">
        <v>69.944614999999999</v>
      </c>
      <c r="E320" s="280">
        <v>35</v>
      </c>
    </row>
    <row r="321" spans="1:5" x14ac:dyDescent="0.2">
      <c r="A321" s="228" t="s">
        <v>552</v>
      </c>
      <c r="B321" s="298">
        <v>70.939245</v>
      </c>
      <c r="E321" s="280">
        <v>35</v>
      </c>
    </row>
    <row r="322" spans="1:5" x14ac:dyDescent="0.2">
      <c r="A322" s="228" t="s">
        <v>553</v>
      </c>
      <c r="B322" s="298">
        <v>71.936467816000004</v>
      </c>
      <c r="E322" s="280">
        <v>35</v>
      </c>
    </row>
    <row r="323" spans="1:5" x14ac:dyDescent="0.2">
      <c r="A323" s="228" t="s">
        <v>554</v>
      </c>
      <c r="B323" s="298">
        <v>72.931765830000003</v>
      </c>
      <c r="E323" s="280">
        <v>35</v>
      </c>
    </row>
    <row r="324" spans="1:5" x14ac:dyDescent="0.2">
      <c r="A324" s="228" t="s">
        <v>555</v>
      </c>
      <c r="B324" s="298">
        <v>73.929891303999995</v>
      </c>
      <c r="E324" s="280">
        <v>35</v>
      </c>
    </row>
    <row r="325" spans="1:5" x14ac:dyDescent="0.2">
      <c r="A325" s="228" t="s">
        <v>556</v>
      </c>
      <c r="B325" s="298">
        <v>74.925776562999999</v>
      </c>
      <c r="E325" s="280">
        <v>35</v>
      </c>
    </row>
    <row r="326" spans="1:5" x14ac:dyDescent="0.2">
      <c r="A326" s="228" t="s">
        <v>557</v>
      </c>
      <c r="B326" s="298">
        <v>75.924542127999999</v>
      </c>
      <c r="E326" s="280">
        <v>35</v>
      </c>
    </row>
    <row r="327" spans="1:5" x14ac:dyDescent="0.2">
      <c r="A327" s="228" t="s">
        <v>558</v>
      </c>
      <c r="B327" s="298">
        <v>76.921380287000005</v>
      </c>
      <c r="E327" s="280">
        <v>35</v>
      </c>
    </row>
    <row r="328" spans="1:5" x14ac:dyDescent="0.2">
      <c r="A328" s="228" t="s">
        <v>559</v>
      </c>
      <c r="B328" s="298">
        <v>77.921146284000002</v>
      </c>
      <c r="E328" s="280">
        <v>35</v>
      </c>
    </row>
    <row r="329" spans="1:5" x14ac:dyDescent="0.2">
      <c r="A329" s="228" t="s">
        <v>560</v>
      </c>
      <c r="B329" s="298">
        <v>78.918337882000003</v>
      </c>
      <c r="E329" s="280">
        <v>35</v>
      </c>
    </row>
    <row r="330" spans="1:5" x14ac:dyDescent="0.2">
      <c r="A330" s="228" t="s">
        <v>561</v>
      </c>
      <c r="B330" s="298">
        <v>79.918530187000002</v>
      </c>
      <c r="E330" s="280">
        <v>35</v>
      </c>
    </row>
    <row r="331" spans="1:5" x14ac:dyDescent="0.2">
      <c r="A331" s="228" t="s">
        <v>562</v>
      </c>
      <c r="B331" s="298">
        <v>80.916291438000002</v>
      </c>
      <c r="E331" s="280">
        <v>35</v>
      </c>
    </row>
    <row r="332" spans="1:5" x14ac:dyDescent="0.2">
      <c r="A332" s="228" t="s">
        <v>563</v>
      </c>
      <c r="B332" s="298">
        <v>81.916805044</v>
      </c>
      <c r="E332" s="280">
        <v>35</v>
      </c>
    </row>
    <row r="333" spans="1:5" x14ac:dyDescent="0.2">
      <c r="A333" s="228" t="s">
        <v>564</v>
      </c>
      <c r="B333" s="298">
        <v>82.915181078000003</v>
      </c>
      <c r="E333" s="280">
        <v>35</v>
      </c>
    </row>
    <row r="334" spans="1:5" x14ac:dyDescent="0.2">
      <c r="A334" s="228" t="s">
        <v>565</v>
      </c>
      <c r="B334" s="298">
        <v>83.916504803999999</v>
      </c>
      <c r="E334" s="280">
        <v>35</v>
      </c>
    </row>
    <row r="335" spans="1:5" x14ac:dyDescent="0.2">
      <c r="A335" s="228" t="s">
        <v>566</v>
      </c>
      <c r="B335" s="298">
        <v>84.915611018999996</v>
      </c>
      <c r="E335" s="280">
        <v>35</v>
      </c>
    </row>
    <row r="336" spans="1:5" x14ac:dyDescent="0.2">
      <c r="A336" s="228" t="s">
        <v>567</v>
      </c>
      <c r="B336" s="298">
        <v>85.918801931000004</v>
      </c>
      <c r="E336" s="280">
        <v>35</v>
      </c>
    </row>
    <row r="337" spans="1:5" x14ac:dyDescent="0.2">
      <c r="A337" s="228" t="s">
        <v>568</v>
      </c>
      <c r="B337" s="298">
        <v>86.920715450000003</v>
      </c>
      <c r="E337" s="280">
        <v>35</v>
      </c>
    </row>
    <row r="338" spans="1:5" x14ac:dyDescent="0.2">
      <c r="A338" s="228" t="s">
        <v>569</v>
      </c>
      <c r="B338" s="298">
        <v>87.924070709999995</v>
      </c>
      <c r="E338" s="280">
        <v>35</v>
      </c>
    </row>
    <row r="339" spans="1:5" x14ac:dyDescent="0.2">
      <c r="A339" s="228" t="s">
        <v>570</v>
      </c>
      <c r="B339" s="298">
        <v>88.926395064000005</v>
      </c>
      <c r="E339" s="280">
        <v>35</v>
      </c>
    </row>
    <row r="340" spans="1:5" x14ac:dyDescent="0.2">
      <c r="A340" s="228" t="s">
        <v>571</v>
      </c>
      <c r="B340" s="298">
        <v>89.930638861999995</v>
      </c>
      <c r="E340" s="280">
        <v>35</v>
      </c>
    </row>
    <row r="341" spans="1:5" x14ac:dyDescent="0.2">
      <c r="A341" s="228" t="s">
        <v>572</v>
      </c>
      <c r="B341" s="298">
        <v>90.933922135000003</v>
      </c>
      <c r="E341" s="280">
        <v>35</v>
      </c>
    </row>
    <row r="342" spans="1:5" x14ac:dyDescent="0.2">
      <c r="A342" s="228" t="s">
        <v>573</v>
      </c>
      <c r="B342" s="298">
        <v>91.939213182000003</v>
      </c>
      <c r="E342" s="280">
        <v>35</v>
      </c>
    </row>
    <row r="343" spans="1:5" x14ac:dyDescent="0.2">
      <c r="A343" s="228" t="s">
        <v>574</v>
      </c>
      <c r="B343" s="298">
        <v>92.943100000000001</v>
      </c>
      <c r="E343" s="280">
        <v>35</v>
      </c>
    </row>
    <row r="344" spans="1:5" x14ac:dyDescent="0.2">
      <c r="A344" s="287" t="s">
        <v>575</v>
      </c>
      <c r="B344" s="299">
        <v>12.010999999999999</v>
      </c>
      <c r="C344" s="288">
        <v>0</v>
      </c>
      <c r="D344" s="288">
        <v>0</v>
      </c>
      <c r="E344" s="288">
        <v>6</v>
      </c>
    </row>
    <row r="345" spans="1:5" x14ac:dyDescent="0.2">
      <c r="A345" s="228" t="s">
        <v>576</v>
      </c>
      <c r="B345" s="298">
        <v>10.016853179</v>
      </c>
      <c r="C345" s="280">
        <v>19.3</v>
      </c>
      <c r="D345" s="280" t="s">
        <v>168</v>
      </c>
      <c r="E345" s="280">
        <v>6</v>
      </c>
    </row>
    <row r="346" spans="1:5" x14ac:dyDescent="0.2">
      <c r="A346" s="228" t="s">
        <v>577</v>
      </c>
      <c r="B346" s="298">
        <v>11.011433414000001</v>
      </c>
      <c r="C346" s="280">
        <v>20.3</v>
      </c>
      <c r="D346" s="280" t="s">
        <v>218</v>
      </c>
      <c r="E346" s="280">
        <v>6</v>
      </c>
    </row>
    <row r="347" spans="1:5" x14ac:dyDescent="0.2">
      <c r="A347" s="228" t="s">
        <v>578</v>
      </c>
      <c r="B347" s="298">
        <v>12</v>
      </c>
      <c r="C347" s="280">
        <v>0</v>
      </c>
      <c r="E347" s="280">
        <v>6</v>
      </c>
    </row>
    <row r="348" spans="1:5" x14ac:dyDescent="0.2">
      <c r="A348" s="228" t="s">
        <v>579</v>
      </c>
      <c r="B348" s="298">
        <v>13.003354838</v>
      </c>
      <c r="C348" s="280">
        <v>0</v>
      </c>
      <c r="E348" s="280">
        <v>6</v>
      </c>
    </row>
    <row r="349" spans="1:5" x14ac:dyDescent="0.2">
      <c r="A349" s="228" t="s">
        <v>580</v>
      </c>
      <c r="B349" s="298">
        <v>14.003241990999999</v>
      </c>
      <c r="C349" s="280">
        <v>5730</v>
      </c>
      <c r="D349" s="280" t="s">
        <v>195</v>
      </c>
      <c r="E349" s="280">
        <v>6</v>
      </c>
    </row>
    <row r="350" spans="1:5" x14ac:dyDescent="0.2">
      <c r="A350" s="228" t="s">
        <v>581</v>
      </c>
      <c r="B350" s="298">
        <v>15.010599259999999</v>
      </c>
      <c r="C350" s="280">
        <v>2.4500000000000002</v>
      </c>
      <c r="D350" s="280" t="s">
        <v>168</v>
      </c>
      <c r="E350" s="280">
        <v>6</v>
      </c>
    </row>
    <row r="351" spans="1:5" x14ac:dyDescent="0.2">
      <c r="A351" s="228" t="s">
        <v>582</v>
      </c>
      <c r="B351" s="298">
        <v>16.014701245000001</v>
      </c>
      <c r="C351" s="280">
        <v>0.75</v>
      </c>
      <c r="D351" s="280" t="s">
        <v>168</v>
      </c>
      <c r="E351" s="280">
        <v>6</v>
      </c>
    </row>
    <row r="352" spans="1:5" x14ac:dyDescent="0.2">
      <c r="A352" s="228" t="s">
        <v>583</v>
      </c>
      <c r="B352" s="298">
        <v>17.022583706999999</v>
      </c>
      <c r="C352" s="280">
        <v>20</v>
      </c>
      <c r="D352" s="280" t="s">
        <v>184</v>
      </c>
      <c r="E352" s="280">
        <v>6</v>
      </c>
    </row>
    <row r="353" spans="1:5" x14ac:dyDescent="0.2">
      <c r="A353" s="228" t="s">
        <v>584</v>
      </c>
      <c r="B353" s="298">
        <v>18.026757053000001</v>
      </c>
      <c r="E353" s="280">
        <v>6</v>
      </c>
    </row>
    <row r="354" spans="1:5" x14ac:dyDescent="0.2">
      <c r="A354" s="228" t="s">
        <v>585</v>
      </c>
      <c r="B354" s="298">
        <v>19.035248094</v>
      </c>
      <c r="E354" s="280">
        <v>6</v>
      </c>
    </row>
    <row r="355" spans="1:5" x14ac:dyDescent="0.2">
      <c r="A355" s="228" t="s">
        <v>586</v>
      </c>
      <c r="B355" s="298">
        <v>20.040322395</v>
      </c>
      <c r="E355" s="280">
        <v>6</v>
      </c>
    </row>
    <row r="356" spans="1:5" x14ac:dyDescent="0.2">
      <c r="A356" s="228" t="s">
        <v>587</v>
      </c>
      <c r="B356" s="298">
        <v>21.049340000000001</v>
      </c>
      <c r="E356" s="280">
        <v>6</v>
      </c>
    </row>
    <row r="357" spans="1:5" x14ac:dyDescent="0.2">
      <c r="A357" s="228" t="s">
        <v>588</v>
      </c>
      <c r="B357" s="298">
        <v>22.056450000000002</v>
      </c>
      <c r="E357" s="280">
        <v>6</v>
      </c>
    </row>
    <row r="358" spans="1:5" x14ac:dyDescent="0.2">
      <c r="A358" s="228" t="s">
        <v>589</v>
      </c>
      <c r="B358" s="298">
        <v>8.0376750260000005</v>
      </c>
      <c r="C358" s="282">
        <v>1.9999999999999998E-21</v>
      </c>
      <c r="D358" s="280" t="s">
        <v>168</v>
      </c>
      <c r="E358" s="280">
        <v>6</v>
      </c>
    </row>
    <row r="359" spans="1:5" x14ac:dyDescent="0.2">
      <c r="A359" s="228" t="s">
        <v>590</v>
      </c>
      <c r="B359" s="298">
        <v>9.0310404230000003</v>
      </c>
      <c r="C359" s="280">
        <v>127</v>
      </c>
      <c r="D359" s="280" t="s">
        <v>184</v>
      </c>
      <c r="E359" s="280">
        <v>6</v>
      </c>
    </row>
    <row r="360" spans="1:5" x14ac:dyDescent="0.2">
      <c r="A360" s="287" t="s">
        <v>591</v>
      </c>
      <c r="B360" s="299">
        <v>40.08</v>
      </c>
      <c r="C360" s="288">
        <v>0</v>
      </c>
      <c r="D360" s="288">
        <v>0</v>
      </c>
      <c r="E360" s="288">
        <v>20</v>
      </c>
    </row>
    <row r="361" spans="1:5" x14ac:dyDescent="0.2">
      <c r="A361" s="228" t="s">
        <v>592</v>
      </c>
      <c r="B361" s="298">
        <v>34.014119999999998</v>
      </c>
      <c r="E361" s="280">
        <v>20</v>
      </c>
    </row>
    <row r="362" spans="1:5" x14ac:dyDescent="0.2">
      <c r="A362" s="228" t="s">
        <v>593</v>
      </c>
      <c r="B362" s="298">
        <v>35.004764999999999</v>
      </c>
      <c r="E362" s="280">
        <v>20</v>
      </c>
    </row>
    <row r="363" spans="1:5" x14ac:dyDescent="0.2">
      <c r="A363" s="228" t="s">
        <v>594</v>
      </c>
      <c r="B363" s="298">
        <v>35.993087232999997</v>
      </c>
      <c r="E363" s="280">
        <v>20</v>
      </c>
    </row>
    <row r="364" spans="1:5" x14ac:dyDescent="0.2">
      <c r="A364" s="228" t="s">
        <v>595</v>
      </c>
      <c r="B364" s="298">
        <v>36.985871502999998</v>
      </c>
      <c r="E364" s="280">
        <v>20</v>
      </c>
    </row>
    <row r="365" spans="1:5" x14ac:dyDescent="0.2">
      <c r="A365" s="228" t="s">
        <v>596</v>
      </c>
      <c r="B365" s="298">
        <v>37.976318636000002</v>
      </c>
      <c r="E365" s="280">
        <v>20</v>
      </c>
    </row>
    <row r="366" spans="1:5" x14ac:dyDescent="0.2">
      <c r="A366" s="228" t="s">
        <v>597</v>
      </c>
      <c r="B366" s="298">
        <v>38.970717727999997</v>
      </c>
      <c r="E366" s="280">
        <v>20</v>
      </c>
    </row>
    <row r="367" spans="1:5" x14ac:dyDescent="0.2">
      <c r="A367" s="228" t="s">
        <v>598</v>
      </c>
      <c r="B367" s="298">
        <v>39.962591152999998</v>
      </c>
      <c r="C367" s="280">
        <v>0</v>
      </c>
      <c r="E367" s="280">
        <v>20</v>
      </c>
    </row>
    <row r="368" spans="1:5" x14ac:dyDescent="0.2">
      <c r="A368" s="228" t="s">
        <v>599</v>
      </c>
      <c r="B368" s="298">
        <v>40.962278347000002</v>
      </c>
      <c r="C368" s="282">
        <v>103000</v>
      </c>
      <c r="D368" s="280" t="s">
        <v>249</v>
      </c>
      <c r="E368" s="280">
        <v>20</v>
      </c>
    </row>
    <row r="369" spans="1:5" x14ac:dyDescent="0.2">
      <c r="A369" s="228" t="s">
        <v>600</v>
      </c>
      <c r="B369" s="298">
        <v>41.958618332999997</v>
      </c>
      <c r="C369" s="280">
        <v>0</v>
      </c>
      <c r="E369" s="280">
        <v>20</v>
      </c>
    </row>
    <row r="370" spans="1:5" x14ac:dyDescent="0.2">
      <c r="A370" s="228" t="s">
        <v>601</v>
      </c>
      <c r="B370" s="298">
        <v>42.958766828000002</v>
      </c>
      <c r="C370" s="280">
        <v>0</v>
      </c>
      <c r="E370" s="280">
        <v>20</v>
      </c>
    </row>
    <row r="371" spans="1:5" x14ac:dyDescent="0.2">
      <c r="A371" s="228" t="s">
        <v>602</v>
      </c>
      <c r="B371" s="298">
        <v>43.955481079999998</v>
      </c>
      <c r="C371" s="280">
        <v>0</v>
      </c>
      <c r="E371" s="280">
        <v>20</v>
      </c>
    </row>
    <row r="372" spans="1:5" x14ac:dyDescent="0.2">
      <c r="A372" s="228" t="s">
        <v>603</v>
      </c>
      <c r="B372" s="298">
        <v>44.956185924000003</v>
      </c>
      <c r="C372" s="280">
        <v>162.69999999999999</v>
      </c>
      <c r="D372" s="280" t="s">
        <v>192</v>
      </c>
      <c r="E372" s="280">
        <v>20</v>
      </c>
    </row>
    <row r="373" spans="1:5" x14ac:dyDescent="0.2">
      <c r="A373" s="228" t="s">
        <v>604</v>
      </c>
      <c r="B373" s="298">
        <v>45.953692703999998</v>
      </c>
      <c r="C373" s="280">
        <v>0</v>
      </c>
      <c r="E373" s="280">
        <v>20</v>
      </c>
    </row>
    <row r="374" spans="1:5" x14ac:dyDescent="0.2">
      <c r="A374" s="228" t="s">
        <v>605</v>
      </c>
      <c r="B374" s="298">
        <v>46.954546405000002</v>
      </c>
      <c r="C374" s="280">
        <v>4.5359999999999996</v>
      </c>
      <c r="D374" s="280" t="s">
        <v>192</v>
      </c>
      <c r="E374" s="280">
        <v>20</v>
      </c>
    </row>
    <row r="375" spans="1:5" x14ac:dyDescent="0.2">
      <c r="A375" s="228" t="s">
        <v>606</v>
      </c>
      <c r="B375" s="298">
        <v>47.952533422999998</v>
      </c>
      <c r="C375" s="280">
        <v>0</v>
      </c>
      <c r="E375" s="280">
        <v>20</v>
      </c>
    </row>
    <row r="376" spans="1:5" x14ac:dyDescent="0.2">
      <c r="A376" s="228" t="s">
        <v>607</v>
      </c>
      <c r="B376" s="298">
        <v>48.955673214000001</v>
      </c>
      <c r="E376" s="280">
        <v>20</v>
      </c>
    </row>
    <row r="377" spans="1:5" x14ac:dyDescent="0.2">
      <c r="A377" s="228" t="s">
        <v>608</v>
      </c>
      <c r="B377" s="298">
        <v>49.957518196999999</v>
      </c>
      <c r="E377" s="280">
        <v>20</v>
      </c>
    </row>
    <row r="378" spans="1:5" x14ac:dyDescent="0.2">
      <c r="A378" s="228" t="s">
        <v>609</v>
      </c>
      <c r="B378" s="298">
        <v>50.961454744000001</v>
      </c>
      <c r="E378" s="280">
        <v>20</v>
      </c>
    </row>
    <row r="379" spans="1:5" x14ac:dyDescent="0.2">
      <c r="A379" s="228" t="s">
        <v>610</v>
      </c>
      <c r="B379" s="298">
        <v>51.9651</v>
      </c>
      <c r="E379" s="280">
        <v>20</v>
      </c>
    </row>
    <row r="380" spans="1:5" x14ac:dyDescent="0.2">
      <c r="A380" s="228" t="s">
        <v>611</v>
      </c>
      <c r="B380" s="298">
        <v>52.970050000000001</v>
      </c>
      <c r="E380" s="280">
        <v>20</v>
      </c>
    </row>
    <row r="381" spans="1:5" x14ac:dyDescent="0.2">
      <c r="A381" s="287" t="s">
        <v>612</v>
      </c>
      <c r="B381" s="299">
        <v>112.41</v>
      </c>
      <c r="C381" s="288">
        <v>0</v>
      </c>
      <c r="D381" s="288">
        <v>0</v>
      </c>
      <c r="E381" s="288">
        <v>48</v>
      </c>
    </row>
    <row r="382" spans="1:5" x14ac:dyDescent="0.2">
      <c r="A382" s="228" t="s">
        <v>613</v>
      </c>
      <c r="B382" s="298">
        <v>99.920275273000001</v>
      </c>
      <c r="E382" s="280">
        <v>48</v>
      </c>
    </row>
    <row r="383" spans="1:5" x14ac:dyDescent="0.2">
      <c r="A383" s="228" t="s">
        <v>614</v>
      </c>
      <c r="B383" s="298">
        <v>100.91868081299999</v>
      </c>
      <c r="E383" s="280">
        <v>48</v>
      </c>
    </row>
    <row r="384" spans="1:5" x14ac:dyDescent="0.2">
      <c r="A384" s="228" t="s">
        <v>615</v>
      </c>
      <c r="B384" s="298">
        <v>101.91474324000001</v>
      </c>
      <c r="E384" s="280">
        <v>48</v>
      </c>
    </row>
    <row r="385" spans="1:5" x14ac:dyDescent="0.2">
      <c r="A385" s="228" t="s">
        <v>616</v>
      </c>
      <c r="B385" s="298">
        <v>102.913418769</v>
      </c>
      <c r="E385" s="280">
        <v>48</v>
      </c>
    </row>
    <row r="386" spans="1:5" x14ac:dyDescent="0.2">
      <c r="A386" s="228" t="s">
        <v>617</v>
      </c>
      <c r="B386" s="298">
        <v>103.90984807300001</v>
      </c>
      <c r="E386" s="280">
        <v>48</v>
      </c>
    </row>
    <row r="387" spans="1:5" x14ac:dyDescent="0.2">
      <c r="A387" s="228" t="s">
        <v>618</v>
      </c>
      <c r="B387" s="298">
        <v>104.909468012</v>
      </c>
      <c r="E387" s="280">
        <v>48</v>
      </c>
    </row>
    <row r="388" spans="1:5" x14ac:dyDescent="0.2">
      <c r="A388" s="228" t="s">
        <v>619</v>
      </c>
      <c r="B388" s="298">
        <v>105.90645799000001</v>
      </c>
      <c r="C388" s="280">
        <v>0</v>
      </c>
      <c r="E388" s="280">
        <v>48</v>
      </c>
    </row>
    <row r="389" spans="1:5" x14ac:dyDescent="0.2">
      <c r="A389" s="228" t="s">
        <v>620</v>
      </c>
      <c r="B389" s="298">
        <v>106.906614344</v>
      </c>
      <c r="C389" s="280">
        <v>6.52</v>
      </c>
      <c r="D389" s="280" t="s">
        <v>199</v>
      </c>
      <c r="E389" s="280">
        <v>48</v>
      </c>
    </row>
    <row r="390" spans="1:5" x14ac:dyDescent="0.2">
      <c r="A390" s="228" t="s">
        <v>621</v>
      </c>
      <c r="B390" s="298">
        <v>107.90418307100001</v>
      </c>
      <c r="C390" s="280">
        <v>0</v>
      </c>
      <c r="E390" s="280">
        <v>48</v>
      </c>
    </row>
    <row r="391" spans="1:5" x14ac:dyDescent="0.2">
      <c r="A391" s="228" t="s">
        <v>622</v>
      </c>
      <c r="B391" s="298">
        <v>108.90498540500001</v>
      </c>
      <c r="C391" s="280">
        <v>462</v>
      </c>
      <c r="D391" s="280" t="s">
        <v>192</v>
      </c>
      <c r="E391" s="280">
        <v>48</v>
      </c>
    </row>
    <row r="392" spans="1:5" x14ac:dyDescent="0.2">
      <c r="A392" s="228" t="s">
        <v>623</v>
      </c>
      <c r="B392" s="298">
        <v>109.90300598899999</v>
      </c>
      <c r="C392" s="280">
        <v>0</v>
      </c>
      <c r="E392" s="280">
        <v>48</v>
      </c>
    </row>
    <row r="393" spans="1:5" x14ac:dyDescent="0.2">
      <c r="A393" s="228" t="s">
        <v>624</v>
      </c>
      <c r="B393" s="298">
        <v>110.904182038</v>
      </c>
      <c r="E393" s="280">
        <v>48</v>
      </c>
    </row>
    <row r="394" spans="1:5" x14ac:dyDescent="0.2">
      <c r="A394" s="228" t="s">
        <v>625</v>
      </c>
      <c r="B394" s="298">
        <v>111.90275766000001</v>
      </c>
      <c r="C394" s="280">
        <v>0</v>
      </c>
      <c r="E394" s="280">
        <v>48</v>
      </c>
    </row>
    <row r="395" spans="1:5" x14ac:dyDescent="0.2">
      <c r="A395" s="228" t="s">
        <v>626</v>
      </c>
      <c r="B395" s="298">
        <v>112.90440138</v>
      </c>
      <c r="E395" s="280">
        <v>48</v>
      </c>
    </row>
    <row r="396" spans="1:5" x14ac:dyDescent="0.2">
      <c r="A396" s="228" t="s">
        <v>627</v>
      </c>
      <c r="B396" s="298">
        <v>113.90335855399999</v>
      </c>
      <c r="C396" s="280">
        <v>0</v>
      </c>
      <c r="E396" s="280">
        <v>48</v>
      </c>
    </row>
    <row r="397" spans="1:5" x14ac:dyDescent="0.2">
      <c r="A397" s="228" t="s">
        <v>628</v>
      </c>
      <c r="B397" s="298">
        <v>114.90543098800001</v>
      </c>
      <c r="E397" s="280">
        <v>48</v>
      </c>
    </row>
    <row r="398" spans="1:5" x14ac:dyDescent="0.2">
      <c r="A398" s="228" t="s">
        <v>629</v>
      </c>
      <c r="B398" s="298">
        <v>115.90475582800001</v>
      </c>
      <c r="C398" s="280">
        <v>0</v>
      </c>
      <c r="E398" s="280">
        <v>48</v>
      </c>
    </row>
    <row r="399" spans="1:5" x14ac:dyDescent="0.2">
      <c r="A399" s="228" t="s">
        <v>630</v>
      </c>
      <c r="B399" s="298">
        <v>116.907218637</v>
      </c>
      <c r="E399" s="280">
        <v>48</v>
      </c>
    </row>
    <row r="400" spans="1:5" x14ac:dyDescent="0.2">
      <c r="A400" s="228" t="s">
        <v>631</v>
      </c>
      <c r="B400" s="298">
        <v>117.906914538</v>
      </c>
      <c r="E400" s="280">
        <v>48</v>
      </c>
    </row>
    <row r="401" spans="1:5" x14ac:dyDescent="0.2">
      <c r="A401" s="228" t="s">
        <v>632</v>
      </c>
      <c r="B401" s="298">
        <v>118.90992430599999</v>
      </c>
      <c r="E401" s="280">
        <v>48</v>
      </c>
    </row>
    <row r="402" spans="1:5" x14ac:dyDescent="0.2">
      <c r="A402" s="228" t="s">
        <v>633</v>
      </c>
      <c r="B402" s="298">
        <v>119.909851225</v>
      </c>
      <c r="E402" s="280">
        <v>48</v>
      </c>
    </row>
    <row r="403" spans="1:5" x14ac:dyDescent="0.2">
      <c r="A403" s="228" t="s">
        <v>634</v>
      </c>
      <c r="B403" s="298">
        <v>120.913099489</v>
      </c>
      <c r="E403" s="280">
        <v>48</v>
      </c>
    </row>
    <row r="404" spans="1:5" x14ac:dyDescent="0.2">
      <c r="A404" s="228" t="s">
        <v>635</v>
      </c>
      <c r="B404" s="298">
        <v>121.9135</v>
      </c>
      <c r="E404" s="280">
        <v>48</v>
      </c>
    </row>
    <row r="405" spans="1:5" x14ac:dyDescent="0.2">
      <c r="A405" s="228" t="s">
        <v>636</v>
      </c>
      <c r="B405" s="298">
        <v>122.91700148</v>
      </c>
      <c r="E405" s="280">
        <v>48</v>
      </c>
    </row>
    <row r="406" spans="1:5" x14ac:dyDescent="0.2">
      <c r="A406" s="228" t="s">
        <v>637</v>
      </c>
      <c r="B406" s="298">
        <v>123.917648175</v>
      </c>
      <c r="E406" s="280">
        <v>48</v>
      </c>
    </row>
    <row r="407" spans="1:5" x14ac:dyDescent="0.2">
      <c r="A407" s="228" t="s">
        <v>638</v>
      </c>
      <c r="B407" s="298">
        <v>124.921286802</v>
      </c>
      <c r="E407" s="280">
        <v>48</v>
      </c>
    </row>
    <row r="408" spans="1:5" x14ac:dyDescent="0.2">
      <c r="A408" s="228" t="s">
        <v>639</v>
      </c>
      <c r="B408" s="298">
        <v>125.92235386900001</v>
      </c>
      <c r="E408" s="280">
        <v>48</v>
      </c>
    </row>
    <row r="409" spans="1:5" x14ac:dyDescent="0.2">
      <c r="A409" s="228" t="s">
        <v>640</v>
      </c>
      <c r="B409" s="298">
        <v>126.926434204</v>
      </c>
      <c r="E409" s="280">
        <v>48</v>
      </c>
    </row>
    <row r="410" spans="1:5" x14ac:dyDescent="0.2">
      <c r="A410" s="228" t="s">
        <v>641</v>
      </c>
      <c r="B410" s="298">
        <v>127.927760745</v>
      </c>
      <c r="E410" s="280">
        <v>48</v>
      </c>
    </row>
    <row r="411" spans="1:5" x14ac:dyDescent="0.2">
      <c r="A411" s="228" t="s">
        <v>642</v>
      </c>
      <c r="B411" s="298">
        <v>97.927583999999996</v>
      </c>
      <c r="E411" s="280">
        <v>48</v>
      </c>
    </row>
    <row r="412" spans="1:5" x14ac:dyDescent="0.2">
      <c r="A412" s="228" t="s">
        <v>643</v>
      </c>
      <c r="B412" s="298">
        <v>98.92501</v>
      </c>
      <c r="E412" s="280">
        <v>48</v>
      </c>
    </row>
    <row r="413" spans="1:5" x14ac:dyDescent="0.2">
      <c r="A413" s="287" t="s">
        <v>644</v>
      </c>
      <c r="B413" s="299">
        <v>140.12</v>
      </c>
      <c r="C413" s="288">
        <v>0</v>
      </c>
      <c r="D413" s="288">
        <v>0</v>
      </c>
      <c r="E413" s="288">
        <v>58</v>
      </c>
    </row>
    <row r="414" spans="1:5" x14ac:dyDescent="0.2">
      <c r="A414" s="228" t="s">
        <v>645</v>
      </c>
      <c r="B414" s="298">
        <v>120.94367</v>
      </c>
      <c r="E414" s="280">
        <v>58</v>
      </c>
    </row>
    <row r="415" spans="1:5" x14ac:dyDescent="0.2">
      <c r="A415" s="228" t="s">
        <v>646</v>
      </c>
      <c r="B415" s="298">
        <v>121.93801000000001</v>
      </c>
      <c r="E415" s="280">
        <v>58</v>
      </c>
    </row>
    <row r="416" spans="1:5" x14ac:dyDescent="0.2">
      <c r="A416" s="228" t="s">
        <v>647</v>
      </c>
      <c r="B416" s="298">
        <v>122.93550999999999</v>
      </c>
      <c r="E416" s="280">
        <v>58</v>
      </c>
    </row>
    <row r="417" spans="1:5" x14ac:dyDescent="0.2">
      <c r="A417" s="228" t="s">
        <v>648</v>
      </c>
      <c r="B417" s="298">
        <v>123.93052</v>
      </c>
      <c r="E417" s="280">
        <v>58</v>
      </c>
    </row>
    <row r="418" spans="1:5" x14ac:dyDescent="0.2">
      <c r="A418" s="228" t="s">
        <v>649</v>
      </c>
      <c r="B418" s="298">
        <v>124.92854</v>
      </c>
      <c r="E418" s="280">
        <v>58</v>
      </c>
    </row>
    <row r="419" spans="1:5" x14ac:dyDescent="0.2">
      <c r="A419" s="228" t="s">
        <v>650</v>
      </c>
      <c r="B419" s="298">
        <v>125.9241</v>
      </c>
      <c r="E419" s="280">
        <v>58</v>
      </c>
    </row>
    <row r="420" spans="1:5" x14ac:dyDescent="0.2">
      <c r="A420" s="228" t="s">
        <v>651</v>
      </c>
      <c r="B420" s="298">
        <v>126.92274999999999</v>
      </c>
      <c r="E420" s="280">
        <v>58</v>
      </c>
    </row>
    <row r="421" spans="1:5" x14ac:dyDescent="0.2">
      <c r="A421" s="228" t="s">
        <v>652</v>
      </c>
      <c r="B421" s="298">
        <v>127.91887</v>
      </c>
      <c r="E421" s="280">
        <v>58</v>
      </c>
    </row>
    <row r="422" spans="1:5" x14ac:dyDescent="0.2">
      <c r="A422" s="228" t="s">
        <v>653</v>
      </c>
      <c r="B422" s="298">
        <v>128.91809000000001</v>
      </c>
      <c r="E422" s="280">
        <v>58</v>
      </c>
    </row>
    <row r="423" spans="1:5" x14ac:dyDescent="0.2">
      <c r="A423" s="228" t="s">
        <v>654</v>
      </c>
      <c r="B423" s="298">
        <v>129.91469000000001</v>
      </c>
      <c r="E423" s="280">
        <v>58</v>
      </c>
    </row>
    <row r="424" spans="1:5" x14ac:dyDescent="0.2">
      <c r="A424" s="228" t="s">
        <v>655</v>
      </c>
      <c r="B424" s="298">
        <v>130.91442458500001</v>
      </c>
      <c r="E424" s="280">
        <v>58</v>
      </c>
    </row>
    <row r="425" spans="1:5" x14ac:dyDescent="0.2">
      <c r="A425" s="228" t="s">
        <v>656</v>
      </c>
      <c r="B425" s="298">
        <v>131.91148999999999</v>
      </c>
      <c r="E425" s="280">
        <v>58</v>
      </c>
    </row>
    <row r="426" spans="1:5" x14ac:dyDescent="0.2">
      <c r="A426" s="228" t="s">
        <v>657</v>
      </c>
      <c r="B426" s="298">
        <v>132.91155000000001</v>
      </c>
      <c r="E426" s="280">
        <v>58</v>
      </c>
    </row>
    <row r="427" spans="1:5" x14ac:dyDescent="0.2">
      <c r="A427" s="228" t="s">
        <v>658</v>
      </c>
      <c r="B427" s="298">
        <v>133.90902666100001</v>
      </c>
      <c r="E427" s="280">
        <v>58</v>
      </c>
    </row>
    <row r="428" spans="1:5" x14ac:dyDescent="0.2">
      <c r="A428" s="228" t="s">
        <v>659</v>
      </c>
      <c r="B428" s="298">
        <v>134.909146639</v>
      </c>
      <c r="E428" s="280">
        <v>58</v>
      </c>
    </row>
    <row r="429" spans="1:5" x14ac:dyDescent="0.2">
      <c r="A429" s="228" t="s">
        <v>660</v>
      </c>
      <c r="B429" s="298">
        <v>135.907144297</v>
      </c>
      <c r="C429" s="280">
        <v>0</v>
      </c>
      <c r="E429" s="280">
        <v>58</v>
      </c>
    </row>
    <row r="430" spans="1:5" x14ac:dyDescent="0.2">
      <c r="A430" s="228" t="s">
        <v>661</v>
      </c>
      <c r="B430" s="298">
        <v>136.90777835700001</v>
      </c>
      <c r="C430" s="280">
        <v>9</v>
      </c>
      <c r="D430" s="280" t="s">
        <v>199</v>
      </c>
      <c r="E430" s="280">
        <v>58</v>
      </c>
    </row>
    <row r="431" spans="1:5" x14ac:dyDescent="0.2">
      <c r="A431" s="228" t="s">
        <v>662</v>
      </c>
      <c r="B431" s="298">
        <v>137.905986297</v>
      </c>
      <c r="C431" s="280">
        <v>0</v>
      </c>
      <c r="E431" s="280">
        <v>58</v>
      </c>
    </row>
    <row r="432" spans="1:5" x14ac:dyDescent="0.2">
      <c r="A432" s="228" t="s">
        <v>663</v>
      </c>
      <c r="B432" s="298">
        <v>138.90664738000001</v>
      </c>
      <c r="C432" s="280">
        <v>137.6</v>
      </c>
      <c r="D432" s="280" t="s">
        <v>192</v>
      </c>
      <c r="E432" s="280">
        <v>58</v>
      </c>
    </row>
    <row r="433" spans="1:5" x14ac:dyDescent="0.2">
      <c r="A433" s="228" t="s">
        <v>664</v>
      </c>
      <c r="B433" s="298">
        <v>139.905434759</v>
      </c>
      <c r="C433" s="280">
        <v>0</v>
      </c>
      <c r="E433" s="280">
        <v>58</v>
      </c>
    </row>
    <row r="434" spans="1:5" x14ac:dyDescent="0.2">
      <c r="A434" s="228" t="s">
        <v>665</v>
      </c>
      <c r="B434" s="298">
        <v>140.90827181700001</v>
      </c>
      <c r="C434" s="280">
        <v>32.5</v>
      </c>
      <c r="D434" s="280" t="s">
        <v>192</v>
      </c>
      <c r="E434" s="280">
        <v>58</v>
      </c>
    </row>
    <row r="435" spans="1:5" x14ac:dyDescent="0.2">
      <c r="A435" s="228" t="s">
        <v>666</v>
      </c>
      <c r="B435" s="298">
        <v>141.909240565</v>
      </c>
      <c r="C435" s="280">
        <v>0</v>
      </c>
      <c r="E435" s="280">
        <v>58</v>
      </c>
    </row>
    <row r="436" spans="1:5" x14ac:dyDescent="0.2">
      <c r="A436" s="228" t="s">
        <v>667</v>
      </c>
      <c r="B436" s="298">
        <v>142.912381987</v>
      </c>
      <c r="C436" s="280">
        <v>1.38</v>
      </c>
      <c r="D436" s="280" t="s">
        <v>192</v>
      </c>
      <c r="E436" s="280">
        <v>58</v>
      </c>
    </row>
    <row r="437" spans="1:5" x14ac:dyDescent="0.2">
      <c r="A437" s="228" t="s">
        <v>668</v>
      </c>
      <c r="B437" s="298">
        <v>143.91364330600001</v>
      </c>
      <c r="C437" s="280">
        <v>284.60000000000002</v>
      </c>
      <c r="D437" s="280" t="s">
        <v>192</v>
      </c>
      <c r="E437" s="280">
        <v>58</v>
      </c>
    </row>
    <row r="438" spans="1:5" x14ac:dyDescent="0.2">
      <c r="A438" s="228" t="s">
        <v>669</v>
      </c>
      <c r="B438" s="298">
        <v>144.91723084399999</v>
      </c>
      <c r="C438" s="280">
        <v>3</v>
      </c>
      <c r="D438" s="280" t="s">
        <v>218</v>
      </c>
      <c r="E438" s="280">
        <v>58</v>
      </c>
    </row>
    <row r="439" spans="1:5" x14ac:dyDescent="0.2">
      <c r="A439" s="228" t="s">
        <v>670</v>
      </c>
      <c r="B439" s="298">
        <v>145.91872872799999</v>
      </c>
      <c r="E439" s="280">
        <v>58</v>
      </c>
    </row>
    <row r="440" spans="1:5" x14ac:dyDescent="0.2">
      <c r="A440" s="228" t="s">
        <v>671</v>
      </c>
      <c r="B440" s="298">
        <v>146.922511536</v>
      </c>
      <c r="E440" s="280">
        <v>58</v>
      </c>
    </row>
    <row r="441" spans="1:5" x14ac:dyDescent="0.2">
      <c r="A441" s="228" t="s">
        <v>672</v>
      </c>
      <c r="B441" s="298">
        <v>147.92439529500001</v>
      </c>
      <c r="E441" s="280">
        <v>58</v>
      </c>
    </row>
    <row r="442" spans="1:5" x14ac:dyDescent="0.2">
      <c r="A442" s="228" t="s">
        <v>673</v>
      </c>
      <c r="B442" s="298">
        <v>148.92828964399999</v>
      </c>
      <c r="E442" s="280">
        <v>58</v>
      </c>
    </row>
    <row r="443" spans="1:5" x14ac:dyDescent="0.2">
      <c r="A443" s="228" t="s">
        <v>674</v>
      </c>
      <c r="B443" s="298">
        <v>149.930226836</v>
      </c>
      <c r="E443" s="280">
        <v>58</v>
      </c>
    </row>
    <row r="444" spans="1:5" x14ac:dyDescent="0.2">
      <c r="A444" s="228" t="s">
        <v>675</v>
      </c>
      <c r="B444" s="298">
        <v>150.93402</v>
      </c>
      <c r="E444" s="280">
        <v>58</v>
      </c>
    </row>
    <row r="445" spans="1:5" x14ac:dyDescent="0.2">
      <c r="A445" s="228" t="s">
        <v>676</v>
      </c>
      <c r="B445" s="298">
        <v>151.93661</v>
      </c>
      <c r="E445" s="280">
        <v>58</v>
      </c>
    </row>
    <row r="446" spans="1:5" x14ac:dyDescent="0.2">
      <c r="A446" s="228" t="s">
        <v>677</v>
      </c>
      <c r="B446" s="298">
        <v>152.94095999999999</v>
      </c>
      <c r="E446" s="280">
        <v>58</v>
      </c>
    </row>
    <row r="447" spans="1:5" x14ac:dyDescent="0.2">
      <c r="A447" s="287" t="s">
        <v>3168</v>
      </c>
      <c r="B447" s="299">
        <v>251</v>
      </c>
      <c r="C447" s="288"/>
      <c r="D447" s="288"/>
      <c r="E447" s="288">
        <v>98</v>
      </c>
    </row>
    <row r="448" spans="1:5" x14ac:dyDescent="0.2">
      <c r="A448" s="228" t="s">
        <v>678</v>
      </c>
      <c r="B448" s="298">
        <v>239.06256999999999</v>
      </c>
      <c r="E448" s="280">
        <v>98</v>
      </c>
    </row>
    <row r="449" spans="1:5" x14ac:dyDescent="0.2">
      <c r="A449" s="228" t="s">
        <v>679</v>
      </c>
      <c r="B449" s="298">
        <v>240.06229400000001</v>
      </c>
      <c r="E449" s="280">
        <v>98</v>
      </c>
    </row>
    <row r="450" spans="1:5" x14ac:dyDescent="0.2">
      <c r="A450" s="228" t="s">
        <v>680</v>
      </c>
      <c r="B450" s="298">
        <v>241.06371899999999</v>
      </c>
      <c r="E450" s="280">
        <v>98</v>
      </c>
    </row>
    <row r="451" spans="1:5" x14ac:dyDescent="0.2">
      <c r="A451" s="228" t="s">
        <v>681</v>
      </c>
      <c r="B451" s="298">
        <v>242.06368860000001</v>
      </c>
      <c r="E451" s="280">
        <v>98</v>
      </c>
    </row>
    <row r="452" spans="1:5" x14ac:dyDescent="0.2">
      <c r="A452" s="228" t="s">
        <v>682</v>
      </c>
      <c r="B452" s="298">
        <v>243.06537900000001</v>
      </c>
      <c r="E452" s="280">
        <v>98</v>
      </c>
    </row>
    <row r="453" spans="1:5" x14ac:dyDescent="0.2">
      <c r="A453" s="228" t="s">
        <v>683</v>
      </c>
      <c r="B453" s="298">
        <v>244.06599002499999</v>
      </c>
      <c r="E453" s="280">
        <v>98</v>
      </c>
    </row>
    <row r="454" spans="1:5" x14ac:dyDescent="0.2">
      <c r="A454" s="228" t="s">
        <v>684</v>
      </c>
      <c r="B454" s="298">
        <v>245.06803842400001</v>
      </c>
      <c r="E454" s="280">
        <v>98</v>
      </c>
    </row>
    <row r="455" spans="1:5" x14ac:dyDescent="0.2">
      <c r="A455" s="228" t="s">
        <v>685</v>
      </c>
      <c r="B455" s="298">
        <v>246.06879789600001</v>
      </c>
      <c r="E455" s="280">
        <v>98</v>
      </c>
    </row>
    <row r="456" spans="1:5" x14ac:dyDescent="0.2">
      <c r="A456" s="228" t="s">
        <v>686</v>
      </c>
      <c r="B456" s="298">
        <v>247.070991131</v>
      </c>
      <c r="E456" s="280">
        <v>98</v>
      </c>
    </row>
    <row r="457" spans="1:5" x14ac:dyDescent="0.2">
      <c r="A457" s="228" t="s">
        <v>687</v>
      </c>
      <c r="B457" s="298">
        <v>248.07217717</v>
      </c>
      <c r="E457" s="280">
        <v>98</v>
      </c>
    </row>
    <row r="458" spans="1:5" x14ac:dyDescent="0.2">
      <c r="A458" s="228" t="s">
        <v>688</v>
      </c>
      <c r="B458" s="298">
        <v>249.074845901</v>
      </c>
      <c r="E458" s="280">
        <v>98</v>
      </c>
    </row>
    <row r="459" spans="1:5" x14ac:dyDescent="0.2">
      <c r="A459" s="228" t="s">
        <v>689</v>
      </c>
      <c r="B459" s="298">
        <v>250.07639890199999</v>
      </c>
      <c r="E459" s="280">
        <v>98</v>
      </c>
    </row>
    <row r="460" spans="1:5" x14ac:dyDescent="0.2">
      <c r="A460" s="228" t="s">
        <v>690</v>
      </c>
      <c r="B460" s="298">
        <v>251.079579094</v>
      </c>
      <c r="C460" s="282">
        <v>900</v>
      </c>
      <c r="D460" s="280" t="s">
        <v>249</v>
      </c>
      <c r="E460" s="280">
        <v>98</v>
      </c>
    </row>
    <row r="461" spans="1:5" x14ac:dyDescent="0.2">
      <c r="A461" s="228" t="s">
        <v>691</v>
      </c>
      <c r="B461" s="298">
        <v>252.08161862</v>
      </c>
      <c r="C461" s="280">
        <v>2.6379999999999999</v>
      </c>
      <c r="D461" s="280" t="s">
        <v>249</v>
      </c>
      <c r="E461" s="280">
        <v>98</v>
      </c>
    </row>
    <row r="462" spans="1:5" x14ac:dyDescent="0.2">
      <c r="A462" s="228" t="s">
        <v>692</v>
      </c>
      <c r="B462" s="298">
        <v>253.08512416600001</v>
      </c>
      <c r="E462" s="280">
        <v>98</v>
      </c>
    </row>
    <row r="463" spans="1:5" x14ac:dyDescent="0.2">
      <c r="A463" s="228" t="s">
        <v>693</v>
      </c>
      <c r="B463" s="298">
        <v>254.08731523700001</v>
      </c>
      <c r="E463" s="280">
        <v>98</v>
      </c>
    </row>
    <row r="464" spans="1:5" x14ac:dyDescent="0.2">
      <c r="A464" s="228" t="s">
        <v>694</v>
      </c>
      <c r="B464" s="298">
        <v>255.091016</v>
      </c>
      <c r="E464" s="280">
        <v>98</v>
      </c>
    </row>
    <row r="465" spans="1:5" x14ac:dyDescent="0.2">
      <c r="A465" s="287" t="s">
        <v>695</v>
      </c>
      <c r="B465" s="299">
        <v>35.453000000000003</v>
      </c>
      <c r="C465" s="288">
        <v>0</v>
      </c>
      <c r="D465" s="288">
        <v>0</v>
      </c>
      <c r="E465" s="288">
        <v>17</v>
      </c>
    </row>
    <row r="466" spans="1:5" x14ac:dyDescent="0.2">
      <c r="A466" s="228" t="s">
        <v>696</v>
      </c>
      <c r="B466" s="298">
        <v>28.028510000000001</v>
      </c>
      <c r="E466" s="280">
        <v>17</v>
      </c>
    </row>
    <row r="467" spans="1:5" x14ac:dyDescent="0.2">
      <c r="A467" s="228" t="s">
        <v>697</v>
      </c>
      <c r="B467" s="298">
        <v>29.014109999999999</v>
      </c>
      <c r="E467" s="280">
        <v>17</v>
      </c>
    </row>
    <row r="468" spans="1:5" x14ac:dyDescent="0.2">
      <c r="A468" s="228" t="s">
        <v>698</v>
      </c>
      <c r="B468" s="298">
        <v>30.004770000000001</v>
      </c>
      <c r="E468" s="280">
        <v>17</v>
      </c>
    </row>
    <row r="469" spans="1:5" x14ac:dyDescent="0.2">
      <c r="A469" s="228" t="s">
        <v>699</v>
      </c>
      <c r="B469" s="298">
        <v>30.992415991000001</v>
      </c>
      <c r="E469" s="280">
        <v>17</v>
      </c>
    </row>
    <row r="470" spans="1:5" x14ac:dyDescent="0.2">
      <c r="A470" s="228" t="s">
        <v>700</v>
      </c>
      <c r="B470" s="298">
        <v>31.985688949</v>
      </c>
      <c r="E470" s="280">
        <v>17</v>
      </c>
    </row>
    <row r="471" spans="1:5" x14ac:dyDescent="0.2">
      <c r="A471" s="228" t="s">
        <v>701</v>
      </c>
      <c r="B471" s="298">
        <v>32.977451838999997</v>
      </c>
      <c r="E471" s="280">
        <v>17</v>
      </c>
    </row>
    <row r="472" spans="1:5" x14ac:dyDescent="0.2">
      <c r="A472" s="228" t="s">
        <v>702</v>
      </c>
      <c r="B472" s="298">
        <v>33.973762993999998</v>
      </c>
      <c r="E472" s="280">
        <v>17</v>
      </c>
    </row>
    <row r="473" spans="1:5" x14ac:dyDescent="0.2">
      <c r="A473" s="228" t="s">
        <v>703</v>
      </c>
      <c r="B473" s="298">
        <v>34.968852706</v>
      </c>
      <c r="C473" s="280">
        <v>0</v>
      </c>
      <c r="E473" s="280">
        <v>17</v>
      </c>
    </row>
    <row r="474" spans="1:5" x14ac:dyDescent="0.2">
      <c r="A474" s="228" t="s">
        <v>704</v>
      </c>
      <c r="B474" s="298">
        <v>35.968306943999998</v>
      </c>
      <c r="C474" s="282">
        <v>301000</v>
      </c>
      <c r="D474" s="280" t="s">
        <v>249</v>
      </c>
      <c r="E474" s="280">
        <v>17</v>
      </c>
    </row>
    <row r="475" spans="1:5" x14ac:dyDescent="0.2">
      <c r="A475" s="228" t="s">
        <v>705</v>
      </c>
      <c r="B475" s="298">
        <v>36.965902595999999</v>
      </c>
      <c r="C475" s="280">
        <v>0</v>
      </c>
      <c r="E475" s="280">
        <v>17</v>
      </c>
    </row>
    <row r="476" spans="1:5" x14ac:dyDescent="0.2">
      <c r="A476" s="228" t="s">
        <v>706</v>
      </c>
      <c r="B476" s="298">
        <v>37.968010546000002</v>
      </c>
      <c r="E476" s="280">
        <v>17</v>
      </c>
    </row>
    <row r="477" spans="1:5" x14ac:dyDescent="0.2">
      <c r="A477" s="228" t="s">
        <v>707</v>
      </c>
      <c r="B477" s="298">
        <v>38.968008607999998</v>
      </c>
      <c r="E477" s="280">
        <v>17</v>
      </c>
    </row>
    <row r="478" spans="1:5" x14ac:dyDescent="0.2">
      <c r="A478" s="228" t="s">
        <v>708</v>
      </c>
      <c r="B478" s="298">
        <v>39.970415555999999</v>
      </c>
      <c r="E478" s="280">
        <v>17</v>
      </c>
    </row>
    <row r="479" spans="1:5" x14ac:dyDescent="0.2">
      <c r="A479" s="228" t="s">
        <v>709</v>
      </c>
      <c r="B479" s="298">
        <v>40.970650212000002</v>
      </c>
      <c r="E479" s="280">
        <v>17</v>
      </c>
    </row>
    <row r="480" spans="1:5" x14ac:dyDescent="0.2">
      <c r="A480" s="228" t="s">
        <v>710</v>
      </c>
      <c r="B480" s="298">
        <v>41.973174993999997</v>
      </c>
      <c r="E480" s="280">
        <v>17</v>
      </c>
    </row>
    <row r="481" spans="1:5" x14ac:dyDescent="0.2">
      <c r="A481" s="228" t="s">
        <v>711</v>
      </c>
      <c r="B481" s="298">
        <v>42.974203385000003</v>
      </c>
      <c r="E481" s="280">
        <v>17</v>
      </c>
    </row>
    <row r="482" spans="1:5" x14ac:dyDescent="0.2">
      <c r="A482" s="228" t="s">
        <v>712</v>
      </c>
      <c r="B482" s="298">
        <v>43.978538712000002</v>
      </c>
      <c r="E482" s="280">
        <v>17</v>
      </c>
    </row>
    <row r="483" spans="1:5" x14ac:dyDescent="0.2">
      <c r="A483" s="228" t="s">
        <v>713</v>
      </c>
      <c r="B483" s="298">
        <v>44.979700000000001</v>
      </c>
      <c r="E483" s="280">
        <v>17</v>
      </c>
    </row>
    <row r="484" spans="1:5" x14ac:dyDescent="0.2">
      <c r="A484" s="228" t="s">
        <v>714</v>
      </c>
      <c r="B484" s="298">
        <v>45.984119999999997</v>
      </c>
      <c r="E484" s="280">
        <v>17</v>
      </c>
    </row>
    <row r="485" spans="1:5" x14ac:dyDescent="0.2">
      <c r="A485" s="228" t="s">
        <v>715</v>
      </c>
      <c r="B485" s="298">
        <v>46.987949999999998</v>
      </c>
      <c r="E485" s="280">
        <v>17</v>
      </c>
    </row>
    <row r="486" spans="1:5" x14ac:dyDescent="0.2">
      <c r="A486" s="287" t="s">
        <v>3169</v>
      </c>
      <c r="B486" s="299">
        <v>247</v>
      </c>
      <c r="C486" s="288"/>
      <c r="D486" s="288"/>
      <c r="E486" s="288"/>
    </row>
    <row r="487" spans="1:5" x14ac:dyDescent="0.2">
      <c r="A487" s="228" t="s">
        <v>716</v>
      </c>
      <c r="B487" s="298">
        <v>235.05158299999999</v>
      </c>
      <c r="E487" s="280">
        <v>17</v>
      </c>
    </row>
    <row r="488" spans="1:5" x14ac:dyDescent="0.2">
      <c r="A488" s="228" t="s">
        <v>717</v>
      </c>
      <c r="B488" s="298">
        <v>236.05140499999999</v>
      </c>
      <c r="E488" s="280">
        <v>17</v>
      </c>
    </row>
    <row r="489" spans="1:5" x14ac:dyDescent="0.2">
      <c r="A489" s="228" t="s">
        <v>718</v>
      </c>
      <c r="B489" s="298">
        <v>237.05289400000001</v>
      </c>
      <c r="E489" s="280">
        <v>17</v>
      </c>
    </row>
    <row r="490" spans="1:5" x14ac:dyDescent="0.2">
      <c r="A490" s="228" t="s">
        <v>719</v>
      </c>
      <c r="B490" s="298">
        <v>238.05301618499999</v>
      </c>
      <c r="E490" s="280">
        <v>17</v>
      </c>
    </row>
    <row r="491" spans="1:5" x14ac:dyDescent="0.2">
      <c r="A491" s="228" t="s">
        <v>720</v>
      </c>
      <c r="B491" s="298">
        <v>239.05484300000001</v>
      </c>
      <c r="E491" s="280">
        <v>17</v>
      </c>
    </row>
    <row r="492" spans="1:5" x14ac:dyDescent="0.2">
      <c r="A492" s="228" t="s">
        <v>721</v>
      </c>
      <c r="B492" s="298">
        <v>240.055518681</v>
      </c>
      <c r="E492" s="280">
        <v>17</v>
      </c>
    </row>
    <row r="493" spans="1:5" x14ac:dyDescent="0.2">
      <c r="A493" s="228" t="s">
        <v>722</v>
      </c>
      <c r="B493" s="298">
        <v>241.05764598100001</v>
      </c>
      <c r="E493" s="280">
        <v>17</v>
      </c>
    </row>
    <row r="494" spans="1:5" x14ac:dyDescent="0.2">
      <c r="A494" s="228" t="s">
        <v>723</v>
      </c>
      <c r="B494" s="298">
        <v>242.058828414</v>
      </c>
      <c r="C494" s="280">
        <v>162.80000000000001</v>
      </c>
      <c r="D494" s="280" t="s">
        <v>192</v>
      </c>
      <c r="E494" s="280">
        <v>17</v>
      </c>
    </row>
    <row r="495" spans="1:5" x14ac:dyDescent="0.2">
      <c r="A495" s="228" t="s">
        <v>724</v>
      </c>
      <c r="B495" s="298">
        <v>243.06138133900001</v>
      </c>
      <c r="C495" s="280">
        <v>29.1</v>
      </c>
      <c r="D495" s="280" t="s">
        <v>249</v>
      </c>
      <c r="E495" s="280">
        <v>17</v>
      </c>
    </row>
    <row r="496" spans="1:5" x14ac:dyDescent="0.2">
      <c r="A496" s="228" t="s">
        <v>725</v>
      </c>
      <c r="B496" s="298">
        <v>244.06274543800001</v>
      </c>
      <c r="C496" s="280">
        <v>18.100000000000001</v>
      </c>
      <c r="D496" s="280" t="s">
        <v>249</v>
      </c>
      <c r="E496" s="280">
        <v>17</v>
      </c>
    </row>
    <row r="497" spans="1:5" x14ac:dyDescent="0.2">
      <c r="A497" s="228" t="s">
        <v>726</v>
      </c>
      <c r="B497" s="298">
        <v>245.065484669</v>
      </c>
      <c r="E497" s="280">
        <v>17</v>
      </c>
    </row>
    <row r="498" spans="1:5" x14ac:dyDescent="0.2">
      <c r="A498" s="228" t="s">
        <v>727</v>
      </c>
      <c r="B498" s="298">
        <v>246.06721658399999</v>
      </c>
      <c r="E498" s="280">
        <v>17</v>
      </c>
    </row>
    <row r="499" spans="1:5" x14ac:dyDescent="0.2">
      <c r="A499" s="228" t="s">
        <v>728</v>
      </c>
      <c r="B499" s="298">
        <v>247.07034584900001</v>
      </c>
      <c r="E499" s="280">
        <v>17</v>
      </c>
    </row>
    <row r="500" spans="1:5" x14ac:dyDescent="0.2">
      <c r="A500" s="228" t="s">
        <v>729</v>
      </c>
      <c r="B500" s="298">
        <v>248.07234128600001</v>
      </c>
      <c r="E500" s="280">
        <v>17</v>
      </c>
    </row>
    <row r="501" spans="1:5" x14ac:dyDescent="0.2">
      <c r="A501" s="228" t="s">
        <v>730</v>
      </c>
      <c r="B501" s="298">
        <v>249.075946101</v>
      </c>
      <c r="E501" s="280">
        <v>17</v>
      </c>
    </row>
    <row r="502" spans="1:5" x14ac:dyDescent="0.2">
      <c r="A502" s="228" t="s">
        <v>731</v>
      </c>
      <c r="B502" s="298">
        <v>250.078349726</v>
      </c>
      <c r="E502" s="280">
        <v>17</v>
      </c>
    </row>
    <row r="503" spans="1:5" x14ac:dyDescent="0.2">
      <c r="A503" s="228" t="s">
        <v>732</v>
      </c>
      <c r="B503" s="298">
        <v>251.08227691100001</v>
      </c>
      <c r="E503" s="280">
        <v>17</v>
      </c>
    </row>
    <row r="504" spans="1:5" x14ac:dyDescent="0.2">
      <c r="A504" s="287" t="s">
        <v>733</v>
      </c>
      <c r="B504" s="299">
        <v>58.933199999999999</v>
      </c>
      <c r="C504" s="288">
        <v>0</v>
      </c>
      <c r="D504" s="288">
        <v>0</v>
      </c>
      <c r="E504" s="288">
        <v>27</v>
      </c>
    </row>
    <row r="505" spans="1:5" x14ac:dyDescent="0.2">
      <c r="A505" s="228" t="s">
        <v>734</v>
      </c>
      <c r="B505" s="298">
        <v>48.001930000000002</v>
      </c>
      <c r="E505" s="280">
        <v>27</v>
      </c>
    </row>
    <row r="506" spans="1:5" x14ac:dyDescent="0.2">
      <c r="A506" s="228" t="s">
        <v>735</v>
      </c>
      <c r="B506" s="298">
        <v>48.98939</v>
      </c>
      <c r="E506" s="280">
        <v>27</v>
      </c>
    </row>
    <row r="507" spans="1:5" x14ac:dyDescent="0.2">
      <c r="A507" s="228" t="s">
        <v>736</v>
      </c>
      <c r="B507" s="298">
        <v>49.981209999999997</v>
      </c>
      <c r="E507" s="280">
        <v>27</v>
      </c>
    </row>
    <row r="508" spans="1:5" x14ac:dyDescent="0.2">
      <c r="A508" s="228" t="s">
        <v>737</v>
      </c>
      <c r="B508" s="298">
        <v>50.970509999999997</v>
      </c>
      <c r="E508" s="280">
        <v>27</v>
      </c>
    </row>
    <row r="509" spans="1:5" x14ac:dyDescent="0.2">
      <c r="A509" s="228" t="s">
        <v>738</v>
      </c>
      <c r="B509" s="298">
        <v>51.963160000000002</v>
      </c>
      <c r="E509" s="280">
        <v>27</v>
      </c>
    </row>
    <row r="510" spans="1:5" x14ac:dyDescent="0.2">
      <c r="A510" s="228" t="s">
        <v>739</v>
      </c>
      <c r="B510" s="298">
        <v>52.954224717000002</v>
      </c>
      <c r="E510" s="280">
        <v>27</v>
      </c>
    </row>
    <row r="511" spans="1:5" x14ac:dyDescent="0.2">
      <c r="A511" s="228" t="s">
        <v>740</v>
      </c>
      <c r="B511" s="298">
        <v>53.948464014000002</v>
      </c>
      <c r="E511" s="280">
        <v>27</v>
      </c>
    </row>
    <row r="512" spans="1:5" x14ac:dyDescent="0.2">
      <c r="A512" s="228" t="s">
        <v>741</v>
      </c>
      <c r="B512" s="298">
        <v>54.942002983999998</v>
      </c>
      <c r="E512" s="280">
        <v>27</v>
      </c>
    </row>
    <row r="513" spans="1:5" x14ac:dyDescent="0.2">
      <c r="A513" s="228" t="s">
        <v>742</v>
      </c>
      <c r="B513" s="298">
        <v>55.939843574000001</v>
      </c>
      <c r="C513" s="280">
        <v>77.599999999999994</v>
      </c>
      <c r="D513" s="280" t="s">
        <v>192</v>
      </c>
      <c r="E513" s="280">
        <v>27</v>
      </c>
    </row>
    <row r="514" spans="1:5" x14ac:dyDescent="0.2">
      <c r="A514" s="228" t="s">
        <v>743</v>
      </c>
      <c r="B514" s="298">
        <v>56.936295903000001</v>
      </c>
      <c r="C514" s="280">
        <v>271.8</v>
      </c>
      <c r="D514" s="280" t="s">
        <v>192</v>
      </c>
      <c r="E514" s="280">
        <v>27</v>
      </c>
    </row>
    <row r="515" spans="1:5" x14ac:dyDescent="0.2">
      <c r="A515" s="228" t="s">
        <v>744</v>
      </c>
      <c r="B515" s="298">
        <v>57.935757248000002</v>
      </c>
      <c r="C515" s="280">
        <v>70.88</v>
      </c>
      <c r="D515" s="280" t="s">
        <v>192</v>
      </c>
      <c r="E515" s="280">
        <v>27</v>
      </c>
    </row>
    <row r="516" spans="1:5" x14ac:dyDescent="0.2">
      <c r="A516" s="228" t="s">
        <v>745</v>
      </c>
      <c r="B516" s="298">
        <v>58.933199877</v>
      </c>
      <c r="C516" s="280">
        <v>0</v>
      </c>
      <c r="E516" s="280">
        <v>27</v>
      </c>
    </row>
    <row r="517" spans="1:5" x14ac:dyDescent="0.2">
      <c r="A517" s="228" t="s">
        <v>746</v>
      </c>
      <c r="B517" s="298">
        <v>59.933821879</v>
      </c>
      <c r="C517" s="280">
        <v>5.27</v>
      </c>
      <c r="D517" s="280" t="s">
        <v>249</v>
      </c>
      <c r="E517" s="280">
        <v>27</v>
      </c>
    </row>
    <row r="518" spans="1:5" x14ac:dyDescent="0.2">
      <c r="A518" s="228" t="s">
        <v>747</v>
      </c>
      <c r="B518" s="298">
        <v>60.932479049000001</v>
      </c>
      <c r="E518" s="280">
        <v>27</v>
      </c>
    </row>
    <row r="519" spans="1:5" x14ac:dyDescent="0.2">
      <c r="A519" s="228" t="s">
        <v>748</v>
      </c>
      <c r="B519" s="298">
        <v>61.934053882000001</v>
      </c>
      <c r="E519" s="280">
        <v>27</v>
      </c>
    </row>
    <row r="520" spans="1:5" x14ac:dyDescent="0.2">
      <c r="A520" s="228" t="s">
        <v>749</v>
      </c>
      <c r="B520" s="298">
        <v>62.933614886000001</v>
      </c>
      <c r="E520" s="280">
        <v>27</v>
      </c>
    </row>
    <row r="521" spans="1:5" x14ac:dyDescent="0.2">
      <c r="A521" s="228" t="s">
        <v>750</v>
      </c>
      <c r="B521" s="298">
        <v>63.935813191999998</v>
      </c>
      <c r="E521" s="280">
        <v>27</v>
      </c>
    </row>
    <row r="522" spans="1:5" x14ac:dyDescent="0.2">
      <c r="A522" s="228" t="s">
        <v>751</v>
      </c>
      <c r="B522" s="298">
        <v>64.936484329999999</v>
      </c>
      <c r="E522" s="280">
        <v>27</v>
      </c>
    </row>
    <row r="523" spans="1:5" x14ac:dyDescent="0.2">
      <c r="A523" s="228" t="s">
        <v>752</v>
      </c>
      <c r="B523" s="298">
        <v>65.939825412000005</v>
      </c>
      <c r="E523" s="280">
        <v>27</v>
      </c>
    </row>
    <row r="524" spans="1:5" x14ac:dyDescent="0.2">
      <c r="A524" s="228" t="s">
        <v>753</v>
      </c>
      <c r="B524" s="298">
        <v>66.940610000000007</v>
      </c>
      <c r="E524" s="280">
        <v>27</v>
      </c>
    </row>
    <row r="525" spans="1:5" x14ac:dyDescent="0.2">
      <c r="A525" s="228" t="s">
        <v>754</v>
      </c>
      <c r="B525" s="298">
        <v>67.944360000000003</v>
      </c>
      <c r="E525" s="280">
        <v>27</v>
      </c>
    </row>
    <row r="526" spans="1:5" x14ac:dyDescent="0.2">
      <c r="A526" s="228" t="s">
        <v>755</v>
      </c>
      <c r="B526" s="298">
        <v>68.9452</v>
      </c>
      <c r="E526" s="280">
        <v>27</v>
      </c>
    </row>
    <row r="527" spans="1:5" x14ac:dyDescent="0.2">
      <c r="A527" s="228" t="s">
        <v>756</v>
      </c>
      <c r="B527" s="298">
        <v>69.949809999999999</v>
      </c>
      <c r="E527" s="280">
        <v>27</v>
      </c>
    </row>
    <row r="528" spans="1:5" x14ac:dyDescent="0.2">
      <c r="A528" s="228" t="s">
        <v>757</v>
      </c>
      <c r="B528" s="298">
        <v>70.951729999999998</v>
      </c>
      <c r="E528" s="280">
        <v>27</v>
      </c>
    </row>
    <row r="529" spans="1:5" x14ac:dyDescent="0.2">
      <c r="A529" s="287" t="s">
        <v>758</v>
      </c>
      <c r="B529" s="299">
        <v>51.996000000000002</v>
      </c>
      <c r="C529" s="288">
        <v>0</v>
      </c>
      <c r="D529" s="288">
        <v>0</v>
      </c>
      <c r="E529" s="288">
        <v>24</v>
      </c>
    </row>
    <row r="530" spans="1:5" x14ac:dyDescent="0.2">
      <c r="A530" s="228" t="s">
        <v>759</v>
      </c>
      <c r="B530" s="298">
        <v>42.006430000000002</v>
      </c>
      <c r="E530" s="280">
        <v>24</v>
      </c>
    </row>
    <row r="531" spans="1:5" x14ac:dyDescent="0.2">
      <c r="A531" s="228" t="s">
        <v>760</v>
      </c>
      <c r="B531" s="298">
        <v>42.997706999999998</v>
      </c>
      <c r="E531" s="280">
        <v>24</v>
      </c>
    </row>
    <row r="532" spans="1:5" x14ac:dyDescent="0.2">
      <c r="A532" s="228" t="s">
        <v>761</v>
      </c>
      <c r="B532" s="298">
        <v>43.985469999999999</v>
      </c>
      <c r="E532" s="280">
        <v>24</v>
      </c>
    </row>
    <row r="533" spans="1:5" x14ac:dyDescent="0.2">
      <c r="A533" s="228" t="s">
        <v>762</v>
      </c>
      <c r="B533" s="298">
        <v>44.97916</v>
      </c>
      <c r="E533" s="280">
        <v>24</v>
      </c>
    </row>
    <row r="534" spans="1:5" x14ac:dyDescent="0.2">
      <c r="A534" s="228" t="s">
        <v>763</v>
      </c>
      <c r="B534" s="298">
        <v>45.968361612999999</v>
      </c>
      <c r="E534" s="280">
        <v>24</v>
      </c>
    </row>
    <row r="535" spans="1:5" x14ac:dyDescent="0.2">
      <c r="A535" s="228" t="s">
        <v>764</v>
      </c>
      <c r="B535" s="298">
        <v>46.962906382</v>
      </c>
      <c r="E535" s="280">
        <v>24</v>
      </c>
    </row>
    <row r="536" spans="1:5" x14ac:dyDescent="0.2">
      <c r="A536" s="228" t="s">
        <v>765</v>
      </c>
      <c r="B536" s="298">
        <v>47.954035746999999</v>
      </c>
      <c r="E536" s="280">
        <v>24</v>
      </c>
    </row>
    <row r="537" spans="1:5" x14ac:dyDescent="0.2">
      <c r="A537" s="228" t="s">
        <v>766</v>
      </c>
      <c r="B537" s="298">
        <v>48.951341006</v>
      </c>
      <c r="E537" s="280">
        <v>24</v>
      </c>
    </row>
    <row r="538" spans="1:5" x14ac:dyDescent="0.2">
      <c r="A538" s="228" t="s">
        <v>767</v>
      </c>
      <c r="B538" s="298">
        <v>49.946049477999999</v>
      </c>
      <c r="C538" s="280">
        <v>0</v>
      </c>
      <c r="E538" s="280">
        <v>24</v>
      </c>
    </row>
    <row r="539" spans="1:5" x14ac:dyDescent="0.2">
      <c r="A539" s="228" t="s">
        <v>768</v>
      </c>
      <c r="B539" s="298">
        <v>50.944771639000002</v>
      </c>
      <c r="C539" s="280">
        <v>27.7</v>
      </c>
      <c r="D539" s="280" t="s">
        <v>192</v>
      </c>
      <c r="E539" s="280">
        <v>24</v>
      </c>
    </row>
    <row r="540" spans="1:5" x14ac:dyDescent="0.2">
      <c r="A540" s="228" t="s">
        <v>769</v>
      </c>
      <c r="B540" s="298">
        <v>51.940511542000003</v>
      </c>
      <c r="C540" s="280">
        <v>0</v>
      </c>
      <c r="E540" s="280">
        <v>24</v>
      </c>
    </row>
    <row r="541" spans="1:5" x14ac:dyDescent="0.2">
      <c r="A541" s="228" t="s">
        <v>770</v>
      </c>
      <c r="B541" s="298">
        <v>52.940653419</v>
      </c>
      <c r="C541" s="280">
        <v>0</v>
      </c>
      <c r="E541" s="280">
        <v>24</v>
      </c>
    </row>
    <row r="542" spans="1:5" x14ac:dyDescent="0.2">
      <c r="A542" s="228" t="s">
        <v>771</v>
      </c>
      <c r="B542" s="298">
        <v>53.938884557000002</v>
      </c>
      <c r="C542" s="280">
        <v>0</v>
      </c>
      <c r="E542" s="280">
        <v>24</v>
      </c>
    </row>
    <row r="543" spans="1:5" x14ac:dyDescent="0.2">
      <c r="A543" s="228" t="s">
        <v>772</v>
      </c>
      <c r="B543" s="298">
        <v>54.940843801</v>
      </c>
      <c r="E543" s="280">
        <v>24</v>
      </c>
    </row>
    <row r="544" spans="1:5" x14ac:dyDescent="0.2">
      <c r="A544" s="228" t="s">
        <v>773</v>
      </c>
      <c r="B544" s="298">
        <v>55.940644874999997</v>
      </c>
      <c r="E544" s="280">
        <v>24</v>
      </c>
    </row>
    <row r="545" spans="1:5" x14ac:dyDescent="0.2">
      <c r="A545" s="228" t="s">
        <v>774</v>
      </c>
      <c r="B545" s="298">
        <v>56.943753899000001</v>
      </c>
      <c r="E545" s="280">
        <v>24</v>
      </c>
    </row>
    <row r="546" spans="1:5" x14ac:dyDescent="0.2">
      <c r="A546" s="228" t="s">
        <v>775</v>
      </c>
      <c r="B546" s="298">
        <v>57.944289269999999</v>
      </c>
      <c r="E546" s="280">
        <v>24</v>
      </c>
    </row>
    <row r="547" spans="1:5" x14ac:dyDescent="0.2">
      <c r="A547" s="228" t="s">
        <v>776</v>
      </c>
      <c r="B547" s="298">
        <v>58.948713793000003</v>
      </c>
      <c r="E547" s="280">
        <v>24</v>
      </c>
    </row>
    <row r="548" spans="1:5" x14ac:dyDescent="0.2">
      <c r="A548" s="228" t="s">
        <v>777</v>
      </c>
      <c r="B548" s="298">
        <v>59.949730000000002</v>
      </c>
      <c r="E548" s="280">
        <v>24</v>
      </c>
    </row>
    <row r="549" spans="1:5" x14ac:dyDescent="0.2">
      <c r="A549" s="228" t="s">
        <v>778</v>
      </c>
      <c r="B549" s="298">
        <v>60.954090000000001</v>
      </c>
      <c r="E549" s="280">
        <v>24</v>
      </c>
    </row>
    <row r="550" spans="1:5" x14ac:dyDescent="0.2">
      <c r="A550" s="228" t="s">
        <v>779</v>
      </c>
      <c r="B550" s="298">
        <v>61.955799999999996</v>
      </c>
      <c r="E550" s="280">
        <v>24</v>
      </c>
    </row>
    <row r="551" spans="1:5" x14ac:dyDescent="0.2">
      <c r="A551" s="287" t="s">
        <v>780</v>
      </c>
      <c r="B551" s="299">
        <v>132.90539999999999</v>
      </c>
      <c r="C551" s="288">
        <v>0</v>
      </c>
      <c r="D551" s="288">
        <v>0</v>
      </c>
      <c r="E551" s="288">
        <v>55</v>
      </c>
    </row>
    <row r="552" spans="1:5" x14ac:dyDescent="0.2">
      <c r="A552" s="228" t="s">
        <v>781</v>
      </c>
      <c r="B552" s="298">
        <v>111.950304</v>
      </c>
      <c r="E552" s="280">
        <v>55</v>
      </c>
    </row>
    <row r="553" spans="1:5" x14ac:dyDescent="0.2">
      <c r="A553" s="228" t="s">
        <v>782</v>
      </c>
      <c r="B553" s="298">
        <v>112.944522257</v>
      </c>
      <c r="E553" s="280">
        <v>55</v>
      </c>
    </row>
    <row r="554" spans="1:5" x14ac:dyDescent="0.2">
      <c r="A554" s="228" t="s">
        <v>783</v>
      </c>
      <c r="B554" s="298">
        <v>113.941422</v>
      </c>
      <c r="E554" s="280">
        <v>55</v>
      </c>
    </row>
    <row r="555" spans="1:5" x14ac:dyDescent="0.2">
      <c r="A555" s="228" t="s">
        <v>784</v>
      </c>
      <c r="B555" s="298">
        <v>114.935935</v>
      </c>
      <c r="E555" s="280">
        <v>55</v>
      </c>
    </row>
    <row r="556" spans="1:5" x14ac:dyDescent="0.2">
      <c r="A556" s="228" t="s">
        <v>785</v>
      </c>
      <c r="B556" s="298">
        <v>115.932974285</v>
      </c>
      <c r="E556" s="280">
        <v>55</v>
      </c>
    </row>
    <row r="557" spans="1:5" x14ac:dyDescent="0.2">
      <c r="A557" s="228" t="s">
        <v>786</v>
      </c>
      <c r="B557" s="298">
        <v>116.928628859</v>
      </c>
      <c r="E557" s="280">
        <v>55</v>
      </c>
    </row>
    <row r="558" spans="1:5" x14ac:dyDescent="0.2">
      <c r="A558" s="228" t="s">
        <v>787</v>
      </c>
      <c r="B558" s="298">
        <v>117.92653943800001</v>
      </c>
      <c r="E558" s="280">
        <v>55</v>
      </c>
    </row>
    <row r="559" spans="1:5" x14ac:dyDescent="0.2">
      <c r="A559" s="228" t="s">
        <v>788</v>
      </c>
      <c r="B559" s="298">
        <v>118.92234436699999</v>
      </c>
      <c r="E559" s="280">
        <v>55</v>
      </c>
    </row>
    <row r="560" spans="1:5" x14ac:dyDescent="0.2">
      <c r="A560" s="228" t="s">
        <v>789</v>
      </c>
      <c r="B560" s="298">
        <v>119.92066294599999</v>
      </c>
      <c r="E560" s="280">
        <v>55</v>
      </c>
    </row>
    <row r="561" spans="1:5" x14ac:dyDescent="0.2">
      <c r="A561" s="228" t="s">
        <v>790</v>
      </c>
      <c r="B561" s="298">
        <v>120.917176524</v>
      </c>
      <c r="E561" s="280">
        <v>55</v>
      </c>
    </row>
    <row r="562" spans="1:5" x14ac:dyDescent="0.2">
      <c r="A562" s="228" t="s">
        <v>791</v>
      </c>
      <c r="B562" s="298">
        <v>121.916135013</v>
      </c>
      <c r="E562" s="280">
        <v>55</v>
      </c>
    </row>
    <row r="563" spans="1:5" x14ac:dyDescent="0.2">
      <c r="A563" s="228" t="s">
        <v>792</v>
      </c>
      <c r="B563" s="298">
        <v>122.912986535</v>
      </c>
      <c r="E563" s="280">
        <v>55</v>
      </c>
    </row>
    <row r="564" spans="1:5" x14ac:dyDescent="0.2">
      <c r="A564" s="228" t="s">
        <v>793</v>
      </c>
      <c r="B564" s="298">
        <v>123.912247597</v>
      </c>
      <c r="E564" s="280">
        <v>55</v>
      </c>
    </row>
    <row r="565" spans="1:5" x14ac:dyDescent="0.2">
      <c r="A565" s="228" t="s">
        <v>794</v>
      </c>
      <c r="B565" s="298">
        <v>124.909717438</v>
      </c>
      <c r="E565" s="280">
        <v>55</v>
      </c>
    </row>
    <row r="566" spans="1:5" x14ac:dyDescent="0.2">
      <c r="A566" s="228" t="s">
        <v>795</v>
      </c>
      <c r="B566" s="298">
        <v>125.909448664</v>
      </c>
      <c r="E566" s="280">
        <v>55</v>
      </c>
    </row>
    <row r="567" spans="1:5" x14ac:dyDescent="0.2">
      <c r="A567" s="228" t="s">
        <v>796</v>
      </c>
      <c r="B567" s="298">
        <v>126.907412514</v>
      </c>
      <c r="E567" s="280">
        <v>55</v>
      </c>
    </row>
    <row r="568" spans="1:5" x14ac:dyDescent="0.2">
      <c r="A568" s="228" t="s">
        <v>797</v>
      </c>
      <c r="B568" s="298">
        <v>127.907749681</v>
      </c>
      <c r="E568" s="280">
        <v>55</v>
      </c>
    </row>
    <row r="569" spans="1:5" x14ac:dyDescent="0.2">
      <c r="A569" s="228" t="s">
        <v>798</v>
      </c>
      <c r="B569" s="298">
        <v>128.906063273</v>
      </c>
      <c r="E569" s="280">
        <v>55</v>
      </c>
    </row>
    <row r="570" spans="1:5" x14ac:dyDescent="0.2">
      <c r="A570" s="228" t="s">
        <v>799</v>
      </c>
      <c r="B570" s="298">
        <v>129.906711167</v>
      </c>
      <c r="E570" s="280">
        <v>55</v>
      </c>
    </row>
    <row r="571" spans="1:5" x14ac:dyDescent="0.2">
      <c r="A571" s="228" t="s">
        <v>800</v>
      </c>
      <c r="B571" s="298">
        <v>130.905460334</v>
      </c>
      <c r="E571" s="280">
        <v>55</v>
      </c>
    </row>
    <row r="572" spans="1:5" x14ac:dyDescent="0.2">
      <c r="A572" s="228" t="s">
        <v>801</v>
      </c>
      <c r="B572" s="298">
        <v>131.90643001500001</v>
      </c>
      <c r="E572" s="280">
        <v>55</v>
      </c>
    </row>
    <row r="573" spans="1:5" x14ac:dyDescent="0.2">
      <c r="A573" s="228" t="s">
        <v>802</v>
      </c>
      <c r="B573" s="298">
        <v>132.905447159</v>
      </c>
      <c r="C573" s="280">
        <v>0</v>
      </c>
      <c r="E573" s="280">
        <v>55</v>
      </c>
    </row>
    <row r="574" spans="1:5" x14ac:dyDescent="0.2">
      <c r="A574" s="228" t="s">
        <v>803</v>
      </c>
      <c r="B574" s="298">
        <v>133.906713709</v>
      </c>
      <c r="C574" s="280">
        <v>2.0649999999999999</v>
      </c>
      <c r="D574" s="280" t="s">
        <v>195</v>
      </c>
      <c r="E574" s="280">
        <v>55</v>
      </c>
    </row>
    <row r="575" spans="1:5" x14ac:dyDescent="0.2">
      <c r="A575" s="228" t="s">
        <v>804</v>
      </c>
      <c r="B575" s="298">
        <v>134.905972193</v>
      </c>
      <c r="C575" s="282">
        <v>2300000</v>
      </c>
      <c r="D575" s="280" t="s">
        <v>195</v>
      </c>
      <c r="E575" s="280">
        <v>55</v>
      </c>
    </row>
    <row r="576" spans="1:5" x14ac:dyDescent="0.2">
      <c r="A576" s="228" t="s">
        <v>805</v>
      </c>
      <c r="B576" s="298">
        <v>135.90730682399999</v>
      </c>
      <c r="C576" s="280">
        <v>13.16</v>
      </c>
      <c r="D576" s="280" t="s">
        <v>192</v>
      </c>
      <c r="E576" s="280">
        <v>55</v>
      </c>
    </row>
    <row r="577" spans="1:5" x14ac:dyDescent="0.2">
      <c r="A577" s="228" t="s">
        <v>806</v>
      </c>
      <c r="B577" s="298">
        <v>136.907084567</v>
      </c>
      <c r="C577" s="280">
        <v>30.17</v>
      </c>
      <c r="D577" s="280" t="s">
        <v>249</v>
      </c>
      <c r="E577" s="280">
        <v>55</v>
      </c>
    </row>
    <row r="578" spans="1:5" x14ac:dyDescent="0.2">
      <c r="A578" s="228" t="s">
        <v>807</v>
      </c>
      <c r="B578" s="298">
        <v>137.911010516</v>
      </c>
      <c r="C578" s="280">
        <v>32.200000000000003</v>
      </c>
      <c r="D578" s="280" t="s">
        <v>218</v>
      </c>
      <c r="E578" s="280">
        <v>55</v>
      </c>
    </row>
    <row r="579" spans="1:5" x14ac:dyDescent="0.2">
      <c r="A579" s="228" t="s">
        <v>808</v>
      </c>
      <c r="B579" s="298">
        <v>138.91335893300001</v>
      </c>
      <c r="C579" s="280">
        <v>9.3000000000000007</v>
      </c>
      <c r="D579" s="280" t="s">
        <v>218</v>
      </c>
      <c r="E579" s="280">
        <v>55</v>
      </c>
    </row>
    <row r="580" spans="1:5" x14ac:dyDescent="0.2">
      <c r="A580" s="228" t="s">
        <v>809</v>
      </c>
      <c r="B580" s="298">
        <v>139.91727360199999</v>
      </c>
      <c r="E580" s="280">
        <v>55</v>
      </c>
    </row>
    <row r="581" spans="1:5" x14ac:dyDescent="0.2">
      <c r="A581" s="228" t="s">
        <v>810</v>
      </c>
      <c r="B581" s="298">
        <v>140.920051946</v>
      </c>
      <c r="E581" s="280">
        <v>55</v>
      </c>
    </row>
    <row r="582" spans="1:5" x14ac:dyDescent="0.2">
      <c r="A582" s="228" t="s">
        <v>811</v>
      </c>
      <c r="B582" s="298">
        <v>141.92429543399999</v>
      </c>
      <c r="E582" s="280">
        <v>55</v>
      </c>
    </row>
    <row r="583" spans="1:5" x14ac:dyDescent="0.2">
      <c r="A583" s="228" t="s">
        <v>812</v>
      </c>
      <c r="B583" s="298">
        <v>142.927315448</v>
      </c>
      <c r="E583" s="280">
        <v>55</v>
      </c>
    </row>
    <row r="584" spans="1:5" x14ac:dyDescent="0.2">
      <c r="A584" s="228" t="s">
        <v>813</v>
      </c>
      <c r="B584" s="298">
        <v>143.93202788799999</v>
      </c>
      <c r="E584" s="280">
        <v>55</v>
      </c>
    </row>
    <row r="585" spans="1:5" x14ac:dyDescent="0.2">
      <c r="A585" s="228" t="s">
        <v>814</v>
      </c>
      <c r="B585" s="298">
        <v>144.93541147299999</v>
      </c>
      <c r="E585" s="280">
        <v>55</v>
      </c>
    </row>
    <row r="586" spans="1:5" x14ac:dyDescent="0.2">
      <c r="A586" s="228" t="s">
        <v>815</v>
      </c>
      <c r="B586" s="298">
        <v>145.940243818</v>
      </c>
      <c r="E586" s="280">
        <v>55</v>
      </c>
    </row>
    <row r="587" spans="1:5" x14ac:dyDescent="0.2">
      <c r="A587" s="228" t="s">
        <v>816</v>
      </c>
      <c r="B587" s="298">
        <v>146.94392685599999</v>
      </c>
      <c r="E587" s="280">
        <v>55</v>
      </c>
    </row>
    <row r="588" spans="1:5" x14ac:dyDescent="0.2">
      <c r="A588" s="228" t="s">
        <v>817</v>
      </c>
      <c r="B588" s="298">
        <v>147.94898186699999</v>
      </c>
      <c r="E588" s="280">
        <v>55</v>
      </c>
    </row>
    <row r="589" spans="1:5" x14ac:dyDescent="0.2">
      <c r="A589" s="228" t="s">
        <v>818</v>
      </c>
      <c r="B589" s="298">
        <v>148.95254</v>
      </c>
      <c r="E589" s="280">
        <v>55</v>
      </c>
    </row>
    <row r="590" spans="1:5" x14ac:dyDescent="0.2">
      <c r="A590" s="287" t="s">
        <v>819</v>
      </c>
      <c r="B590" s="299">
        <v>63.545999999999999</v>
      </c>
      <c r="C590" s="288">
        <v>0</v>
      </c>
      <c r="D590" s="288">
        <v>0</v>
      </c>
      <c r="E590" s="288">
        <v>29</v>
      </c>
    </row>
    <row r="591" spans="1:5" x14ac:dyDescent="0.2">
      <c r="A591" s="228" t="s">
        <v>820</v>
      </c>
      <c r="B591" s="298">
        <v>51.99718</v>
      </c>
      <c r="E591" s="280">
        <v>29</v>
      </c>
    </row>
    <row r="592" spans="1:5" x14ac:dyDescent="0.2">
      <c r="A592" s="228" t="s">
        <v>821</v>
      </c>
      <c r="B592" s="298">
        <v>52.985550000000003</v>
      </c>
      <c r="E592" s="280">
        <v>29</v>
      </c>
    </row>
    <row r="593" spans="1:5" x14ac:dyDescent="0.2">
      <c r="A593" s="228" t="s">
        <v>822</v>
      </c>
      <c r="B593" s="298">
        <v>53.976709999999997</v>
      </c>
      <c r="E593" s="280">
        <v>29</v>
      </c>
    </row>
    <row r="594" spans="1:5" x14ac:dyDescent="0.2">
      <c r="A594" s="228" t="s">
        <v>823</v>
      </c>
      <c r="B594" s="298">
        <v>54.965519999999998</v>
      </c>
      <c r="E594" s="280">
        <v>29</v>
      </c>
    </row>
    <row r="595" spans="1:5" x14ac:dyDescent="0.2">
      <c r="A595" s="228" t="s">
        <v>824</v>
      </c>
      <c r="B595" s="298">
        <v>55.958559999999999</v>
      </c>
      <c r="E595" s="280">
        <v>29</v>
      </c>
    </row>
    <row r="596" spans="1:5" x14ac:dyDescent="0.2">
      <c r="A596" s="228" t="s">
        <v>825</v>
      </c>
      <c r="B596" s="298">
        <v>56.949215426999999</v>
      </c>
      <c r="E596" s="280">
        <v>29</v>
      </c>
    </row>
    <row r="597" spans="1:5" x14ac:dyDescent="0.2">
      <c r="A597" s="228" t="s">
        <v>826</v>
      </c>
      <c r="B597" s="298">
        <v>57.944540465999999</v>
      </c>
      <c r="E597" s="280">
        <v>29</v>
      </c>
    </row>
    <row r="598" spans="1:5" x14ac:dyDescent="0.2">
      <c r="A598" s="228" t="s">
        <v>827</v>
      </c>
      <c r="B598" s="298">
        <v>58.939503844999997</v>
      </c>
      <c r="E598" s="280">
        <v>29</v>
      </c>
    </row>
    <row r="599" spans="1:5" x14ac:dyDescent="0.2">
      <c r="A599" s="228" t="s">
        <v>828</v>
      </c>
      <c r="B599" s="298">
        <v>59.937367823000002</v>
      </c>
      <c r="E599" s="280">
        <v>29</v>
      </c>
    </row>
    <row r="600" spans="1:5" x14ac:dyDescent="0.2">
      <c r="A600" s="228" t="s">
        <v>829</v>
      </c>
      <c r="B600" s="298">
        <v>60.933461721</v>
      </c>
      <c r="E600" s="280">
        <v>29</v>
      </c>
    </row>
    <row r="601" spans="1:5" x14ac:dyDescent="0.2">
      <c r="A601" s="228" t="s">
        <v>830</v>
      </c>
      <c r="B601" s="298">
        <v>61.932586968999999</v>
      </c>
      <c r="E601" s="280">
        <v>29</v>
      </c>
    </row>
    <row r="602" spans="1:5" x14ac:dyDescent="0.2">
      <c r="A602" s="228" t="s">
        <v>831</v>
      </c>
      <c r="B602" s="298">
        <v>62.929600747999999</v>
      </c>
      <c r="C602" s="280">
        <v>0</v>
      </c>
      <c r="E602" s="280">
        <v>29</v>
      </c>
    </row>
    <row r="603" spans="1:5" x14ac:dyDescent="0.2">
      <c r="A603" s="228" t="s">
        <v>832</v>
      </c>
      <c r="B603" s="298">
        <v>63.929767533000003</v>
      </c>
      <c r="C603" s="280">
        <v>12.701000000000001</v>
      </c>
      <c r="D603" s="280" t="s">
        <v>199</v>
      </c>
      <c r="E603" s="280">
        <v>29</v>
      </c>
    </row>
    <row r="604" spans="1:5" x14ac:dyDescent="0.2">
      <c r="A604" s="228" t="s">
        <v>833</v>
      </c>
      <c r="B604" s="298">
        <v>64.927793832000006</v>
      </c>
      <c r="C604" s="280">
        <v>0</v>
      </c>
      <c r="E604" s="280">
        <v>29</v>
      </c>
    </row>
    <row r="605" spans="1:5" x14ac:dyDescent="0.2">
      <c r="A605" s="228" t="s">
        <v>834</v>
      </c>
      <c r="B605" s="298">
        <v>65.928873167000006</v>
      </c>
      <c r="C605" s="280">
        <v>5.0999999999999996</v>
      </c>
      <c r="D605" s="280" t="s">
        <v>218</v>
      </c>
      <c r="E605" s="280">
        <v>29</v>
      </c>
    </row>
    <row r="606" spans="1:5" x14ac:dyDescent="0.2">
      <c r="A606" s="228" t="s">
        <v>835</v>
      </c>
      <c r="B606" s="298">
        <v>66.927749982999998</v>
      </c>
      <c r="E606" s="280">
        <v>29</v>
      </c>
    </row>
    <row r="607" spans="1:5" x14ac:dyDescent="0.2">
      <c r="A607" s="228" t="s">
        <v>836</v>
      </c>
      <c r="B607" s="298">
        <v>67.929637565999997</v>
      </c>
      <c r="E607" s="280">
        <v>29</v>
      </c>
    </row>
    <row r="608" spans="1:5" x14ac:dyDescent="0.2">
      <c r="A608" s="228" t="s">
        <v>837</v>
      </c>
      <c r="B608" s="298">
        <v>68.929425030000004</v>
      </c>
      <c r="E608" s="280">
        <v>29</v>
      </c>
    </row>
    <row r="609" spans="1:5" x14ac:dyDescent="0.2">
      <c r="A609" s="228" t="s">
        <v>838</v>
      </c>
      <c r="B609" s="298">
        <v>69.932409035000006</v>
      </c>
      <c r="E609" s="280">
        <v>29</v>
      </c>
    </row>
    <row r="610" spans="1:5" x14ac:dyDescent="0.2">
      <c r="A610" s="228" t="s">
        <v>839</v>
      </c>
      <c r="B610" s="298">
        <v>70.932619567000003</v>
      </c>
      <c r="E610" s="280">
        <v>29</v>
      </c>
    </row>
    <row r="611" spans="1:5" x14ac:dyDescent="0.2">
      <c r="A611" s="228" t="s">
        <v>840</v>
      </c>
      <c r="B611" s="298">
        <v>71.935689999999994</v>
      </c>
      <c r="E611" s="280">
        <v>29</v>
      </c>
    </row>
    <row r="612" spans="1:5" x14ac:dyDescent="0.2">
      <c r="A612" s="228" t="s">
        <v>841</v>
      </c>
      <c r="B612" s="298">
        <v>72.936490000000006</v>
      </c>
      <c r="E612" s="280">
        <v>29</v>
      </c>
    </row>
    <row r="613" spans="1:5" x14ac:dyDescent="0.2">
      <c r="A613" s="228" t="s">
        <v>842</v>
      </c>
      <c r="B613" s="298">
        <v>73.940070000000006</v>
      </c>
      <c r="E613" s="280">
        <v>29</v>
      </c>
    </row>
    <row r="614" spans="1:5" x14ac:dyDescent="0.2">
      <c r="A614" s="228" t="s">
        <v>843</v>
      </c>
      <c r="B614" s="298">
        <v>74.941410000000005</v>
      </c>
      <c r="E614" s="280">
        <v>29</v>
      </c>
    </row>
    <row r="615" spans="1:5" x14ac:dyDescent="0.2">
      <c r="A615" s="228" t="s">
        <v>844</v>
      </c>
      <c r="B615" s="298">
        <v>75.945530000000005</v>
      </c>
      <c r="E615" s="280">
        <v>29</v>
      </c>
    </row>
    <row r="616" spans="1:5" x14ac:dyDescent="0.2">
      <c r="A616" s="228" t="s">
        <v>845</v>
      </c>
      <c r="B616" s="298">
        <v>76.947280000000006</v>
      </c>
      <c r="E616" s="280">
        <v>29</v>
      </c>
    </row>
    <row r="617" spans="1:5" x14ac:dyDescent="0.2">
      <c r="A617" s="228" t="s">
        <v>846</v>
      </c>
      <c r="B617" s="298">
        <v>77.951840000000004</v>
      </c>
      <c r="E617" s="280">
        <v>29</v>
      </c>
    </row>
    <row r="618" spans="1:5" x14ac:dyDescent="0.2">
      <c r="A618" s="228" t="s">
        <v>847</v>
      </c>
      <c r="B618" s="298">
        <v>78.954149999999998</v>
      </c>
      <c r="E618" s="280">
        <v>29</v>
      </c>
    </row>
    <row r="619" spans="1:5" x14ac:dyDescent="0.2">
      <c r="A619" s="287" t="s">
        <v>848</v>
      </c>
      <c r="B619" s="299">
        <v>162.5</v>
      </c>
      <c r="C619" s="288">
        <v>0</v>
      </c>
      <c r="D619" s="288">
        <v>0</v>
      </c>
      <c r="E619" s="288">
        <v>66</v>
      </c>
    </row>
    <row r="620" spans="1:5" x14ac:dyDescent="0.2">
      <c r="A620" s="228" t="s">
        <v>849</v>
      </c>
      <c r="B620" s="298">
        <v>140.95119</v>
      </c>
      <c r="E620" s="280">
        <v>66</v>
      </c>
    </row>
    <row r="621" spans="1:5" x14ac:dyDescent="0.2">
      <c r="A621" s="228" t="s">
        <v>850</v>
      </c>
      <c r="B621" s="298">
        <v>141.94614300000001</v>
      </c>
      <c r="E621" s="280">
        <v>66</v>
      </c>
    </row>
    <row r="622" spans="1:5" x14ac:dyDescent="0.2">
      <c r="A622" s="228" t="s">
        <v>851</v>
      </c>
      <c r="B622" s="298">
        <v>142.94397000000001</v>
      </c>
      <c r="E622" s="280">
        <v>66</v>
      </c>
    </row>
    <row r="623" spans="1:5" x14ac:dyDescent="0.2">
      <c r="A623" s="228" t="s">
        <v>852</v>
      </c>
      <c r="B623" s="298">
        <v>143.93906999999999</v>
      </c>
      <c r="E623" s="280">
        <v>66</v>
      </c>
    </row>
    <row r="624" spans="1:5" x14ac:dyDescent="0.2">
      <c r="A624" s="228" t="s">
        <v>853</v>
      </c>
      <c r="B624" s="298">
        <v>144.93696299999999</v>
      </c>
      <c r="E624" s="280">
        <v>66</v>
      </c>
    </row>
    <row r="625" spans="1:5" x14ac:dyDescent="0.2">
      <c r="A625" s="228" t="s">
        <v>854</v>
      </c>
      <c r="B625" s="298">
        <v>145.932514803</v>
      </c>
      <c r="E625" s="280">
        <v>66</v>
      </c>
    </row>
    <row r="626" spans="1:5" x14ac:dyDescent="0.2">
      <c r="A626" s="228" t="s">
        <v>855</v>
      </c>
      <c r="B626" s="298">
        <v>146.93088228600001</v>
      </c>
      <c r="E626" s="280">
        <v>66</v>
      </c>
    </row>
    <row r="627" spans="1:5" x14ac:dyDescent="0.2">
      <c r="A627" s="228" t="s">
        <v>856</v>
      </c>
      <c r="B627" s="298">
        <v>147.92709758699999</v>
      </c>
      <c r="E627" s="280">
        <v>66</v>
      </c>
    </row>
    <row r="628" spans="1:5" x14ac:dyDescent="0.2">
      <c r="A628" s="228" t="s">
        <v>857</v>
      </c>
      <c r="B628" s="298">
        <v>148.92733531900001</v>
      </c>
      <c r="E628" s="280">
        <v>66</v>
      </c>
    </row>
    <row r="629" spans="1:5" x14ac:dyDescent="0.2">
      <c r="A629" s="228" t="s">
        <v>858</v>
      </c>
      <c r="B629" s="298">
        <v>149.925580827</v>
      </c>
      <c r="E629" s="280">
        <v>66</v>
      </c>
    </row>
    <row r="630" spans="1:5" x14ac:dyDescent="0.2">
      <c r="A630" s="228" t="s">
        <v>859</v>
      </c>
      <c r="B630" s="298">
        <v>150.926180663</v>
      </c>
      <c r="E630" s="280">
        <v>66</v>
      </c>
    </row>
    <row r="631" spans="1:5" x14ac:dyDescent="0.2">
      <c r="A631" s="228" t="s">
        <v>860</v>
      </c>
      <c r="B631" s="298">
        <v>151.92471497299999</v>
      </c>
      <c r="E631" s="280">
        <v>66</v>
      </c>
    </row>
    <row r="632" spans="1:5" x14ac:dyDescent="0.2">
      <c r="A632" s="228" t="s">
        <v>861</v>
      </c>
      <c r="B632" s="298">
        <v>152.925762959</v>
      </c>
      <c r="E632" s="280">
        <v>66</v>
      </c>
    </row>
    <row r="633" spans="1:5" x14ac:dyDescent="0.2">
      <c r="A633" s="228" t="s">
        <v>862</v>
      </c>
      <c r="B633" s="298">
        <v>153.92442271600001</v>
      </c>
      <c r="E633" s="280">
        <v>66</v>
      </c>
    </row>
    <row r="634" spans="1:5" x14ac:dyDescent="0.2">
      <c r="A634" s="228" t="s">
        <v>863</v>
      </c>
      <c r="B634" s="298">
        <v>154.92574901500001</v>
      </c>
      <c r="E634" s="280">
        <v>66</v>
      </c>
    </row>
    <row r="635" spans="1:5" x14ac:dyDescent="0.2">
      <c r="A635" s="228" t="s">
        <v>864</v>
      </c>
      <c r="B635" s="298">
        <v>155.92427833900001</v>
      </c>
      <c r="E635" s="280">
        <v>66</v>
      </c>
    </row>
    <row r="636" spans="1:5" x14ac:dyDescent="0.2">
      <c r="A636" s="228" t="s">
        <v>865</v>
      </c>
      <c r="B636" s="298">
        <v>156.925461321</v>
      </c>
      <c r="E636" s="280">
        <v>66</v>
      </c>
    </row>
    <row r="637" spans="1:5" x14ac:dyDescent="0.2">
      <c r="A637" s="228" t="s">
        <v>866</v>
      </c>
      <c r="B637" s="298">
        <v>157.924404702</v>
      </c>
      <c r="E637" s="280">
        <v>66</v>
      </c>
    </row>
    <row r="638" spans="1:5" x14ac:dyDescent="0.2">
      <c r="A638" s="228" t="s">
        <v>867</v>
      </c>
      <c r="B638" s="298">
        <v>158.92573571700001</v>
      </c>
      <c r="E638" s="280">
        <v>66</v>
      </c>
    </row>
    <row r="639" spans="1:5" x14ac:dyDescent="0.2">
      <c r="A639" s="228" t="s">
        <v>868</v>
      </c>
      <c r="B639" s="298">
        <v>159.92519377799999</v>
      </c>
      <c r="E639" s="280">
        <v>66</v>
      </c>
    </row>
    <row r="640" spans="1:5" x14ac:dyDescent="0.2">
      <c r="A640" s="228" t="s">
        <v>869</v>
      </c>
      <c r="B640" s="298">
        <v>160.92692965500001</v>
      </c>
      <c r="E640" s="280">
        <v>66</v>
      </c>
    </row>
    <row r="641" spans="1:5" x14ac:dyDescent="0.2">
      <c r="A641" s="228" t="s">
        <v>870</v>
      </c>
      <c r="B641" s="298">
        <v>161.92679479099999</v>
      </c>
      <c r="E641" s="280">
        <v>66</v>
      </c>
    </row>
    <row r="642" spans="1:5" x14ac:dyDescent="0.2">
      <c r="A642" s="228" t="s">
        <v>871</v>
      </c>
      <c r="B642" s="298">
        <v>162.92872759299999</v>
      </c>
      <c r="E642" s="280">
        <v>66</v>
      </c>
    </row>
    <row r="643" spans="1:5" x14ac:dyDescent="0.2">
      <c r="A643" s="228" t="s">
        <v>872</v>
      </c>
      <c r="B643" s="298">
        <v>163.929171225</v>
      </c>
      <c r="E643" s="280">
        <v>66</v>
      </c>
    </row>
    <row r="644" spans="1:5" x14ac:dyDescent="0.2">
      <c r="A644" s="228" t="s">
        <v>873</v>
      </c>
      <c r="B644" s="298">
        <v>164.931699888</v>
      </c>
      <c r="E644" s="280">
        <v>66</v>
      </c>
    </row>
    <row r="645" spans="1:5" x14ac:dyDescent="0.2">
      <c r="A645" s="228" t="s">
        <v>874</v>
      </c>
      <c r="B645" s="298">
        <v>165.932803302</v>
      </c>
      <c r="E645" s="280">
        <v>66</v>
      </c>
    </row>
    <row r="646" spans="1:5" x14ac:dyDescent="0.2">
      <c r="A646" s="228" t="s">
        <v>875</v>
      </c>
      <c r="B646" s="298">
        <v>166.93564936199999</v>
      </c>
      <c r="E646" s="280">
        <v>66</v>
      </c>
    </row>
    <row r="647" spans="1:5" x14ac:dyDescent="0.2">
      <c r="A647" s="228" t="s">
        <v>876</v>
      </c>
      <c r="B647" s="298">
        <v>167.93723</v>
      </c>
      <c r="E647" s="280">
        <v>66</v>
      </c>
    </row>
    <row r="648" spans="1:5" x14ac:dyDescent="0.2">
      <c r="A648" s="228" t="s">
        <v>877</v>
      </c>
      <c r="B648" s="298">
        <v>168.94030398500001</v>
      </c>
      <c r="E648" s="280">
        <v>66</v>
      </c>
    </row>
    <row r="649" spans="1:5" x14ac:dyDescent="0.2">
      <c r="A649" s="287" t="s">
        <v>878</v>
      </c>
      <c r="B649" s="299">
        <v>167.26</v>
      </c>
      <c r="C649" s="288">
        <v>0</v>
      </c>
      <c r="D649" s="288">
        <v>0</v>
      </c>
      <c r="E649" s="288">
        <v>68</v>
      </c>
    </row>
    <row r="650" spans="1:5" x14ac:dyDescent="0.2">
      <c r="A650" s="228" t="s">
        <v>879</v>
      </c>
      <c r="B650" s="298">
        <v>144.95785000000001</v>
      </c>
      <c r="E650" s="280">
        <v>68</v>
      </c>
    </row>
    <row r="651" spans="1:5" x14ac:dyDescent="0.2">
      <c r="A651" s="228" t="s">
        <v>880</v>
      </c>
      <c r="B651" s="298">
        <v>145.95195000000001</v>
      </c>
      <c r="E651" s="280">
        <v>68</v>
      </c>
    </row>
    <row r="652" spans="1:5" x14ac:dyDescent="0.2">
      <c r="A652" s="228" t="s">
        <v>881</v>
      </c>
      <c r="B652" s="298">
        <v>146.9494</v>
      </c>
      <c r="E652" s="280">
        <v>68</v>
      </c>
    </row>
    <row r="653" spans="1:5" x14ac:dyDescent="0.2">
      <c r="A653" s="228" t="s">
        <v>882</v>
      </c>
      <c r="B653" s="298">
        <v>147.94443999999999</v>
      </c>
      <c r="E653" s="280">
        <v>68</v>
      </c>
    </row>
    <row r="654" spans="1:5" x14ac:dyDescent="0.2">
      <c r="A654" s="228" t="s">
        <v>883</v>
      </c>
      <c r="B654" s="298">
        <v>148.942094</v>
      </c>
      <c r="E654" s="280">
        <v>68</v>
      </c>
    </row>
    <row r="655" spans="1:5" x14ac:dyDescent="0.2">
      <c r="A655" s="228" t="s">
        <v>884</v>
      </c>
      <c r="B655" s="298">
        <v>149.93776299999999</v>
      </c>
      <c r="E655" s="280">
        <v>68</v>
      </c>
    </row>
    <row r="656" spans="1:5" x14ac:dyDescent="0.2">
      <c r="A656" s="228" t="s">
        <v>885</v>
      </c>
      <c r="B656" s="298">
        <v>150.93728999999999</v>
      </c>
      <c r="E656" s="280">
        <v>68</v>
      </c>
    </row>
    <row r="657" spans="1:5" x14ac:dyDescent="0.2">
      <c r="A657" s="228" t="s">
        <v>886</v>
      </c>
      <c r="B657" s="298">
        <v>151.934998157</v>
      </c>
      <c r="E657" s="280">
        <v>68</v>
      </c>
    </row>
    <row r="658" spans="1:5" x14ac:dyDescent="0.2">
      <c r="A658" s="228" t="s">
        <v>887</v>
      </c>
      <c r="B658" s="298">
        <v>152.93509446300001</v>
      </c>
      <c r="E658" s="280">
        <v>68</v>
      </c>
    </row>
    <row r="659" spans="1:5" x14ac:dyDescent="0.2">
      <c r="A659" s="228" t="s">
        <v>888</v>
      </c>
      <c r="B659" s="298">
        <v>153.93277839300001</v>
      </c>
      <c r="E659" s="280">
        <v>68</v>
      </c>
    </row>
    <row r="660" spans="1:5" x14ac:dyDescent="0.2">
      <c r="A660" s="228" t="s">
        <v>889</v>
      </c>
      <c r="B660" s="298">
        <v>154.933205305</v>
      </c>
      <c r="E660" s="280">
        <v>68</v>
      </c>
    </row>
    <row r="661" spans="1:5" x14ac:dyDescent="0.2">
      <c r="A661" s="228" t="s">
        <v>890</v>
      </c>
      <c r="B661" s="298">
        <v>155.93118100000001</v>
      </c>
      <c r="E661" s="280">
        <v>68</v>
      </c>
    </row>
    <row r="662" spans="1:5" x14ac:dyDescent="0.2">
      <c r="A662" s="228" t="s">
        <v>891</v>
      </c>
      <c r="B662" s="298">
        <v>156.931913323</v>
      </c>
      <c r="E662" s="280">
        <v>68</v>
      </c>
    </row>
    <row r="663" spans="1:5" x14ac:dyDescent="0.2">
      <c r="A663" s="228" t="s">
        <v>892</v>
      </c>
      <c r="B663" s="298">
        <v>157.92991900000001</v>
      </c>
      <c r="E663" s="280">
        <v>68</v>
      </c>
    </row>
    <row r="664" spans="1:5" x14ac:dyDescent="0.2">
      <c r="A664" s="228" t="s">
        <v>893</v>
      </c>
      <c r="B664" s="298">
        <v>158.930680569</v>
      </c>
      <c r="E664" s="280">
        <v>68</v>
      </c>
    </row>
    <row r="665" spans="1:5" x14ac:dyDescent="0.2">
      <c r="A665" s="228" t="s">
        <v>894</v>
      </c>
      <c r="B665" s="298">
        <v>159.929079121</v>
      </c>
      <c r="E665" s="280">
        <v>68</v>
      </c>
    </row>
    <row r="666" spans="1:5" x14ac:dyDescent="0.2">
      <c r="A666" s="228" t="s">
        <v>895</v>
      </c>
      <c r="B666" s="298">
        <v>160.93000154500001</v>
      </c>
      <c r="E666" s="280">
        <v>68</v>
      </c>
    </row>
    <row r="667" spans="1:5" x14ac:dyDescent="0.2">
      <c r="A667" s="228" t="s">
        <v>896</v>
      </c>
      <c r="B667" s="298">
        <v>161.92877512000001</v>
      </c>
      <c r="E667" s="280">
        <v>68</v>
      </c>
    </row>
    <row r="668" spans="1:5" x14ac:dyDescent="0.2">
      <c r="A668" s="228" t="s">
        <v>897</v>
      </c>
      <c r="B668" s="298">
        <v>162.93002941099999</v>
      </c>
      <c r="E668" s="280">
        <v>68</v>
      </c>
    </row>
    <row r="669" spans="1:5" x14ac:dyDescent="0.2">
      <c r="A669" s="228" t="s">
        <v>898</v>
      </c>
      <c r="B669" s="298">
        <v>163.92919725900001</v>
      </c>
      <c r="E669" s="280">
        <v>68</v>
      </c>
    </row>
    <row r="670" spans="1:5" x14ac:dyDescent="0.2">
      <c r="A670" s="228" t="s">
        <v>899</v>
      </c>
      <c r="B670" s="298">
        <v>164.93072305600001</v>
      </c>
      <c r="E670" s="280">
        <v>68</v>
      </c>
    </row>
    <row r="671" spans="1:5" x14ac:dyDescent="0.2">
      <c r="A671" s="228" t="s">
        <v>900</v>
      </c>
      <c r="B671" s="298">
        <v>165.93029033900001</v>
      </c>
      <c r="E671" s="280">
        <v>68</v>
      </c>
    </row>
    <row r="672" spans="1:5" x14ac:dyDescent="0.2">
      <c r="A672" s="228" t="s">
        <v>901</v>
      </c>
      <c r="B672" s="298">
        <v>166.93204579900001</v>
      </c>
      <c r="E672" s="280">
        <v>68</v>
      </c>
    </row>
    <row r="673" spans="1:5" x14ac:dyDescent="0.2">
      <c r="A673" s="228" t="s">
        <v>902</v>
      </c>
      <c r="B673" s="298">
        <v>167.932368129</v>
      </c>
      <c r="E673" s="280">
        <v>68</v>
      </c>
    </row>
    <row r="674" spans="1:5" x14ac:dyDescent="0.2">
      <c r="A674" s="228" t="s">
        <v>903</v>
      </c>
      <c r="B674" s="298">
        <v>168.93458842999999</v>
      </c>
      <c r="E674" s="280">
        <v>68</v>
      </c>
    </row>
    <row r="675" spans="1:5" x14ac:dyDescent="0.2">
      <c r="A675" s="228" t="s">
        <v>904</v>
      </c>
      <c r="B675" s="298">
        <v>169.935460672</v>
      </c>
      <c r="E675" s="280">
        <v>68</v>
      </c>
    </row>
    <row r="676" spans="1:5" x14ac:dyDescent="0.2">
      <c r="A676" s="228" t="s">
        <v>905</v>
      </c>
      <c r="B676" s="298">
        <v>170.938026218</v>
      </c>
      <c r="E676" s="280">
        <v>68</v>
      </c>
    </row>
    <row r="677" spans="1:5" x14ac:dyDescent="0.2">
      <c r="A677" s="228" t="s">
        <v>906</v>
      </c>
      <c r="B677" s="298">
        <v>171.93935247900001</v>
      </c>
      <c r="E677" s="280">
        <v>68</v>
      </c>
    </row>
    <row r="678" spans="1:5" x14ac:dyDescent="0.2">
      <c r="A678" s="228" t="s">
        <v>907</v>
      </c>
      <c r="B678" s="298">
        <v>172.94238999999999</v>
      </c>
      <c r="E678" s="280">
        <v>68</v>
      </c>
    </row>
    <row r="679" spans="1:5" x14ac:dyDescent="0.2">
      <c r="A679" s="228" t="s">
        <v>908</v>
      </c>
      <c r="B679" s="298">
        <v>173.94405</v>
      </c>
      <c r="E679" s="280">
        <v>68</v>
      </c>
    </row>
    <row r="680" spans="1:5" x14ac:dyDescent="0.2">
      <c r="A680" s="287" t="s">
        <v>3170</v>
      </c>
      <c r="B680" s="299">
        <v>254</v>
      </c>
      <c r="C680" s="288"/>
      <c r="D680" s="288"/>
      <c r="E680" s="288">
        <v>99</v>
      </c>
    </row>
    <row r="681" spans="1:5" x14ac:dyDescent="0.2">
      <c r="A681" s="228" t="s">
        <v>909</v>
      </c>
      <c r="B681" s="298">
        <v>241.068602</v>
      </c>
      <c r="E681" s="280">
        <v>99</v>
      </c>
    </row>
    <row r="682" spans="1:5" x14ac:dyDescent="0.2">
      <c r="A682" s="228" t="s">
        <v>910</v>
      </c>
      <c r="B682" s="298">
        <v>242.06971899999999</v>
      </c>
      <c r="E682" s="280">
        <v>99</v>
      </c>
    </row>
    <row r="683" spans="1:5" x14ac:dyDescent="0.2">
      <c r="A683" s="228" t="s">
        <v>911</v>
      </c>
      <c r="B683" s="298">
        <v>243.06963099999999</v>
      </c>
      <c r="E683" s="280">
        <v>99</v>
      </c>
    </row>
    <row r="684" spans="1:5" x14ac:dyDescent="0.2">
      <c r="A684" s="228" t="s">
        <v>912</v>
      </c>
      <c r="B684" s="298">
        <v>244.07088200000001</v>
      </c>
      <c r="E684" s="280">
        <v>99</v>
      </c>
    </row>
    <row r="685" spans="1:5" x14ac:dyDescent="0.2">
      <c r="A685" s="228" t="s">
        <v>913</v>
      </c>
      <c r="B685" s="298">
        <v>245.07131699999999</v>
      </c>
      <c r="E685" s="280">
        <v>99</v>
      </c>
    </row>
    <row r="686" spans="1:5" x14ac:dyDescent="0.2">
      <c r="A686" s="228" t="s">
        <v>914</v>
      </c>
      <c r="B686" s="298">
        <v>246.07296400000001</v>
      </c>
      <c r="E686" s="280">
        <v>99</v>
      </c>
    </row>
    <row r="687" spans="1:5" x14ac:dyDescent="0.2">
      <c r="A687" s="228" t="s">
        <v>915</v>
      </c>
      <c r="B687" s="298">
        <v>247.07364899999999</v>
      </c>
      <c r="E687" s="280">
        <v>99</v>
      </c>
    </row>
    <row r="688" spans="1:5" x14ac:dyDescent="0.2">
      <c r="A688" s="228" t="s">
        <v>916</v>
      </c>
      <c r="B688" s="298">
        <v>248.075462915</v>
      </c>
      <c r="E688" s="280">
        <v>99</v>
      </c>
    </row>
    <row r="689" spans="1:5" x14ac:dyDescent="0.2">
      <c r="A689" s="228" t="s">
        <v>917</v>
      </c>
      <c r="B689" s="298">
        <v>249.076404</v>
      </c>
      <c r="E689" s="280">
        <v>99</v>
      </c>
    </row>
    <row r="690" spans="1:5" x14ac:dyDescent="0.2">
      <c r="A690" s="228" t="s">
        <v>918</v>
      </c>
      <c r="B690" s="298">
        <v>250.078653</v>
      </c>
      <c r="E690" s="280">
        <v>99</v>
      </c>
    </row>
    <row r="691" spans="1:5" x14ac:dyDescent="0.2">
      <c r="A691" s="228" t="s">
        <v>919</v>
      </c>
      <c r="B691" s="298">
        <v>251.079982943</v>
      </c>
      <c r="E691" s="280">
        <v>99</v>
      </c>
    </row>
    <row r="692" spans="1:5" x14ac:dyDescent="0.2">
      <c r="A692" s="228" t="s">
        <v>920</v>
      </c>
      <c r="B692" s="298">
        <v>252.082971286</v>
      </c>
      <c r="E692" s="280">
        <v>99</v>
      </c>
    </row>
    <row r="693" spans="1:5" x14ac:dyDescent="0.2">
      <c r="A693" s="228" t="s">
        <v>921</v>
      </c>
      <c r="B693" s="298">
        <v>253.08481801100001</v>
      </c>
      <c r="E693" s="280">
        <v>99</v>
      </c>
    </row>
    <row r="694" spans="1:5" x14ac:dyDescent="0.2">
      <c r="A694" s="228" t="s">
        <v>922</v>
      </c>
      <c r="B694" s="298">
        <v>254.088017396</v>
      </c>
      <c r="E694" s="280">
        <v>99</v>
      </c>
    </row>
    <row r="695" spans="1:5" x14ac:dyDescent="0.2">
      <c r="A695" s="228" t="s">
        <v>923</v>
      </c>
      <c r="B695" s="298">
        <v>255.09026463000001</v>
      </c>
      <c r="E695" s="280">
        <v>99</v>
      </c>
    </row>
    <row r="696" spans="1:5" x14ac:dyDescent="0.2">
      <c r="A696" s="228" t="s">
        <v>924</v>
      </c>
      <c r="B696" s="298">
        <v>256.09355799999997</v>
      </c>
      <c r="E696" s="280">
        <v>99</v>
      </c>
    </row>
    <row r="697" spans="1:5" x14ac:dyDescent="0.2">
      <c r="A697" s="228" t="s">
        <v>925</v>
      </c>
      <c r="B697" s="298">
        <v>257.09597000000002</v>
      </c>
      <c r="E697" s="280">
        <v>99</v>
      </c>
    </row>
    <row r="698" spans="1:5" x14ac:dyDescent="0.2">
      <c r="A698" s="287" t="s">
        <v>926</v>
      </c>
      <c r="B698" s="299">
        <v>151.96</v>
      </c>
      <c r="C698" s="288">
        <v>0</v>
      </c>
      <c r="D698" s="288">
        <v>0</v>
      </c>
      <c r="E698" s="288">
        <v>63</v>
      </c>
    </row>
    <row r="699" spans="1:5" x14ac:dyDescent="0.2">
      <c r="A699" s="228" t="s">
        <v>927</v>
      </c>
      <c r="B699" s="298">
        <v>134.94172</v>
      </c>
      <c r="E699" s="280">
        <v>63</v>
      </c>
    </row>
    <row r="700" spans="1:5" x14ac:dyDescent="0.2">
      <c r="A700" s="228" t="s">
        <v>928</v>
      </c>
      <c r="B700" s="298">
        <v>135.93950000000001</v>
      </c>
      <c r="E700" s="280">
        <v>63</v>
      </c>
    </row>
    <row r="701" spans="1:5" x14ac:dyDescent="0.2">
      <c r="A701" s="228" t="s">
        <v>929</v>
      </c>
      <c r="B701" s="298">
        <v>136.93521000000001</v>
      </c>
      <c r="E701" s="280">
        <v>63</v>
      </c>
    </row>
    <row r="702" spans="1:5" x14ac:dyDescent="0.2">
      <c r="A702" s="228" t="s">
        <v>930</v>
      </c>
      <c r="B702" s="298">
        <v>137.93344999999999</v>
      </c>
      <c r="E702" s="280">
        <v>63</v>
      </c>
    </row>
    <row r="703" spans="1:5" x14ac:dyDescent="0.2">
      <c r="A703" s="228" t="s">
        <v>931</v>
      </c>
      <c r="B703" s="298">
        <v>138.92981</v>
      </c>
      <c r="E703" s="280">
        <v>63</v>
      </c>
    </row>
    <row r="704" spans="1:5" x14ac:dyDescent="0.2">
      <c r="A704" s="228" t="s">
        <v>932</v>
      </c>
      <c r="B704" s="298">
        <v>139.92810700000001</v>
      </c>
      <c r="E704" s="280">
        <v>63</v>
      </c>
    </row>
    <row r="705" spans="1:5" x14ac:dyDescent="0.2">
      <c r="A705" s="228" t="s">
        <v>933</v>
      </c>
      <c r="B705" s="298">
        <v>140.92442898799999</v>
      </c>
      <c r="E705" s="280">
        <v>63</v>
      </c>
    </row>
    <row r="706" spans="1:5" x14ac:dyDescent="0.2">
      <c r="A706" s="228" t="s">
        <v>934</v>
      </c>
      <c r="B706" s="298">
        <v>141.92310505399999</v>
      </c>
      <c r="E706" s="280">
        <v>63</v>
      </c>
    </row>
    <row r="707" spans="1:5" x14ac:dyDescent="0.2">
      <c r="A707" s="228" t="s">
        <v>935</v>
      </c>
      <c r="B707" s="298">
        <v>142.92017291100001</v>
      </c>
      <c r="E707" s="280">
        <v>63</v>
      </c>
    </row>
    <row r="708" spans="1:5" x14ac:dyDescent="0.2">
      <c r="A708" s="228" t="s">
        <v>936</v>
      </c>
      <c r="B708" s="298">
        <v>143.91879011699999</v>
      </c>
      <c r="E708" s="280">
        <v>63</v>
      </c>
    </row>
    <row r="709" spans="1:5" x14ac:dyDescent="0.2">
      <c r="A709" s="228" t="s">
        <v>937</v>
      </c>
      <c r="B709" s="298">
        <v>144.91626251899999</v>
      </c>
      <c r="E709" s="280">
        <v>63</v>
      </c>
    </row>
    <row r="710" spans="1:5" x14ac:dyDescent="0.2">
      <c r="A710" s="228" t="s">
        <v>938</v>
      </c>
      <c r="B710" s="298">
        <v>145.91720054999999</v>
      </c>
      <c r="E710" s="280">
        <v>63</v>
      </c>
    </row>
    <row r="711" spans="1:5" x14ac:dyDescent="0.2">
      <c r="A711" s="228" t="s">
        <v>939</v>
      </c>
      <c r="B711" s="298">
        <v>146.91674182599999</v>
      </c>
      <c r="E711" s="280">
        <v>63</v>
      </c>
    </row>
    <row r="712" spans="1:5" x14ac:dyDescent="0.2">
      <c r="A712" s="228" t="s">
        <v>940</v>
      </c>
      <c r="B712" s="298">
        <v>147.91815424200001</v>
      </c>
      <c r="E712" s="280">
        <v>63</v>
      </c>
    </row>
    <row r="713" spans="1:5" x14ac:dyDescent="0.2">
      <c r="A713" s="228" t="s">
        <v>941</v>
      </c>
      <c r="B713" s="298">
        <v>148.917922928</v>
      </c>
      <c r="E713" s="280">
        <v>63</v>
      </c>
    </row>
    <row r="714" spans="1:5" x14ac:dyDescent="0.2">
      <c r="A714" s="228" t="s">
        <v>942</v>
      </c>
      <c r="B714" s="298">
        <v>149.91969873100001</v>
      </c>
      <c r="E714" s="280">
        <v>63</v>
      </c>
    </row>
    <row r="715" spans="1:5" x14ac:dyDescent="0.2">
      <c r="A715" s="228" t="s">
        <v>943</v>
      </c>
      <c r="B715" s="298">
        <v>150.91984631700001</v>
      </c>
      <c r="E715" s="280">
        <v>63</v>
      </c>
    </row>
    <row r="716" spans="1:5" x14ac:dyDescent="0.2">
      <c r="A716" s="228" t="s">
        <v>944</v>
      </c>
      <c r="B716" s="298">
        <v>151.921740693</v>
      </c>
      <c r="E716" s="280">
        <v>63</v>
      </c>
    </row>
    <row r="717" spans="1:5" x14ac:dyDescent="0.2">
      <c r="A717" s="228" t="s">
        <v>945</v>
      </c>
      <c r="B717" s="298">
        <v>152.92122651099999</v>
      </c>
      <c r="E717" s="280">
        <v>63</v>
      </c>
    </row>
    <row r="718" spans="1:5" x14ac:dyDescent="0.2">
      <c r="A718" s="228" t="s">
        <v>946</v>
      </c>
      <c r="B718" s="298">
        <v>153.92297567099999</v>
      </c>
      <c r="E718" s="280">
        <v>63</v>
      </c>
    </row>
    <row r="719" spans="1:5" x14ac:dyDescent="0.2">
      <c r="A719" s="228" t="s">
        <v>947</v>
      </c>
      <c r="B719" s="298">
        <v>154.92288971100001</v>
      </c>
      <c r="E719" s="280">
        <v>63</v>
      </c>
    </row>
    <row r="720" spans="1:5" x14ac:dyDescent="0.2">
      <c r="A720" s="228" t="s">
        <v>948</v>
      </c>
      <c r="B720" s="298">
        <v>155.92475102899999</v>
      </c>
      <c r="E720" s="280">
        <v>63</v>
      </c>
    </row>
    <row r="721" spans="1:5" x14ac:dyDescent="0.2">
      <c r="A721" s="228" t="s">
        <v>949</v>
      </c>
      <c r="B721" s="298">
        <v>156.925419551</v>
      </c>
      <c r="E721" s="280">
        <v>63</v>
      </c>
    </row>
    <row r="722" spans="1:5" x14ac:dyDescent="0.2">
      <c r="A722" s="228" t="s">
        <v>950</v>
      </c>
      <c r="B722" s="298">
        <v>157.92784203900001</v>
      </c>
      <c r="E722" s="280">
        <v>63</v>
      </c>
    </row>
    <row r="723" spans="1:5" x14ac:dyDescent="0.2">
      <c r="A723" s="228" t="s">
        <v>951</v>
      </c>
      <c r="B723" s="298">
        <v>158.929084609</v>
      </c>
      <c r="E723" s="280">
        <v>63</v>
      </c>
    </row>
    <row r="724" spans="1:5" x14ac:dyDescent="0.2">
      <c r="A724" s="228" t="s">
        <v>952</v>
      </c>
      <c r="B724" s="298">
        <v>159.93196800000001</v>
      </c>
      <c r="E724" s="280">
        <v>63</v>
      </c>
    </row>
    <row r="725" spans="1:5" x14ac:dyDescent="0.2">
      <c r="A725" s="228" t="s">
        <v>953</v>
      </c>
      <c r="B725" s="298">
        <v>160.93368000000001</v>
      </c>
      <c r="E725" s="280">
        <v>63</v>
      </c>
    </row>
    <row r="726" spans="1:5" x14ac:dyDescent="0.2">
      <c r="A726" s="228" t="s">
        <v>954</v>
      </c>
      <c r="B726" s="298">
        <v>161.93704</v>
      </c>
      <c r="E726" s="280">
        <v>63</v>
      </c>
    </row>
    <row r="727" spans="1:5" x14ac:dyDescent="0.2">
      <c r="A727" s="228" t="s">
        <v>955</v>
      </c>
      <c r="B727" s="298">
        <v>162.93931000000001</v>
      </c>
      <c r="E727" s="280">
        <v>63</v>
      </c>
    </row>
    <row r="728" spans="1:5" x14ac:dyDescent="0.2">
      <c r="A728" s="287" t="s">
        <v>956</v>
      </c>
      <c r="B728" s="299">
        <v>18.998403</v>
      </c>
      <c r="C728" s="288">
        <v>0</v>
      </c>
      <c r="D728" s="288">
        <v>0</v>
      </c>
      <c r="E728" s="288">
        <v>9</v>
      </c>
    </row>
    <row r="729" spans="1:5" x14ac:dyDescent="0.2">
      <c r="A729" s="228" t="s">
        <v>957</v>
      </c>
      <c r="B729" s="298">
        <v>14.03608</v>
      </c>
      <c r="E729" s="280">
        <v>9</v>
      </c>
    </row>
    <row r="730" spans="1:5" x14ac:dyDescent="0.2">
      <c r="A730" s="228" t="s">
        <v>958</v>
      </c>
      <c r="B730" s="298">
        <v>15.018010856</v>
      </c>
      <c r="C730" s="282">
        <v>4.9999999999999995E-22</v>
      </c>
      <c r="D730" s="280" t="s">
        <v>168</v>
      </c>
      <c r="E730" s="280">
        <v>9</v>
      </c>
    </row>
    <row r="731" spans="1:5" x14ac:dyDescent="0.2">
      <c r="A731" s="228" t="s">
        <v>959</v>
      </c>
      <c r="B731" s="298">
        <v>16.011465730000001</v>
      </c>
      <c r="C731" s="282">
        <v>9.9999999999999995E-21</v>
      </c>
      <c r="D731" s="280" t="s">
        <v>168</v>
      </c>
      <c r="E731" s="280">
        <v>9</v>
      </c>
    </row>
    <row r="732" spans="1:5" x14ac:dyDescent="0.2">
      <c r="A732" s="228" t="s">
        <v>960</v>
      </c>
      <c r="B732" s="298">
        <v>17.002095237999999</v>
      </c>
      <c r="C732" s="280">
        <v>64.5</v>
      </c>
      <c r="D732" s="280" t="s">
        <v>168</v>
      </c>
      <c r="E732" s="280">
        <v>9</v>
      </c>
    </row>
    <row r="733" spans="1:5" x14ac:dyDescent="0.2">
      <c r="A733" s="228" t="s">
        <v>961</v>
      </c>
      <c r="B733" s="298">
        <v>18.000937664999999</v>
      </c>
      <c r="C733" s="280">
        <v>1.83</v>
      </c>
      <c r="D733" s="280" t="s">
        <v>199</v>
      </c>
      <c r="E733" s="280">
        <v>9</v>
      </c>
    </row>
    <row r="734" spans="1:5" x14ac:dyDescent="0.2">
      <c r="A734" s="228" t="s">
        <v>962</v>
      </c>
      <c r="B734" s="298">
        <v>18.998403204999999</v>
      </c>
      <c r="E734" s="280">
        <v>9</v>
      </c>
    </row>
    <row r="735" spans="1:5" x14ac:dyDescent="0.2">
      <c r="A735" s="228" t="s">
        <v>963</v>
      </c>
      <c r="B735" s="298">
        <v>19.999981325</v>
      </c>
      <c r="E735" s="280">
        <v>9</v>
      </c>
    </row>
    <row r="736" spans="1:5" x14ac:dyDescent="0.2">
      <c r="A736" s="228" t="s">
        <v>964</v>
      </c>
      <c r="B736" s="298">
        <v>20.999948921000001</v>
      </c>
      <c r="E736" s="280">
        <v>9</v>
      </c>
    </row>
    <row r="737" spans="1:5" x14ac:dyDescent="0.2">
      <c r="A737" s="228" t="s">
        <v>965</v>
      </c>
      <c r="B737" s="298">
        <v>22.002999240000001</v>
      </c>
      <c r="E737" s="280">
        <v>9</v>
      </c>
    </row>
    <row r="738" spans="1:5" x14ac:dyDescent="0.2">
      <c r="A738" s="228" t="s">
        <v>966</v>
      </c>
      <c r="B738" s="298">
        <v>23.003574374999999</v>
      </c>
      <c r="E738" s="280">
        <v>9</v>
      </c>
    </row>
    <row r="739" spans="1:5" x14ac:dyDescent="0.2">
      <c r="A739" s="228" t="s">
        <v>967</v>
      </c>
      <c r="B739" s="298">
        <v>24.008099371</v>
      </c>
      <c r="E739" s="280">
        <v>9</v>
      </c>
    </row>
    <row r="740" spans="1:5" x14ac:dyDescent="0.2">
      <c r="A740" s="228" t="s">
        <v>968</v>
      </c>
      <c r="B740" s="298">
        <v>25.012094962999999</v>
      </c>
      <c r="E740" s="280">
        <v>9</v>
      </c>
    </row>
    <row r="741" spans="1:5" x14ac:dyDescent="0.2">
      <c r="A741" s="228" t="s">
        <v>969</v>
      </c>
      <c r="B741" s="298">
        <v>26.019633157000001</v>
      </c>
      <c r="E741" s="280">
        <v>9</v>
      </c>
    </row>
    <row r="742" spans="1:5" x14ac:dyDescent="0.2">
      <c r="A742" s="228" t="s">
        <v>970</v>
      </c>
      <c r="B742" s="298">
        <v>27.026892316000001</v>
      </c>
      <c r="E742" s="280">
        <v>9</v>
      </c>
    </row>
    <row r="743" spans="1:5" x14ac:dyDescent="0.2">
      <c r="A743" s="228" t="s">
        <v>971</v>
      </c>
      <c r="B743" s="298">
        <v>28.03567</v>
      </c>
      <c r="E743" s="280">
        <v>9</v>
      </c>
    </row>
    <row r="744" spans="1:5" x14ac:dyDescent="0.2">
      <c r="A744" s="228" t="s">
        <v>972</v>
      </c>
      <c r="B744" s="298">
        <v>29.04326</v>
      </c>
      <c r="E744" s="280">
        <v>9</v>
      </c>
    </row>
    <row r="745" spans="1:5" x14ac:dyDescent="0.2">
      <c r="A745" s="287" t="s">
        <v>973</v>
      </c>
      <c r="B745" s="299">
        <v>55.847000000000001</v>
      </c>
      <c r="C745" s="288">
        <v>0</v>
      </c>
      <c r="D745" s="288">
        <v>0</v>
      </c>
      <c r="E745" s="288">
        <v>26</v>
      </c>
    </row>
    <row r="746" spans="1:5" x14ac:dyDescent="0.2">
      <c r="A746" s="228" t="s">
        <v>974</v>
      </c>
      <c r="B746" s="298">
        <v>45.014560000000003</v>
      </c>
      <c r="E746" s="280">
        <v>26</v>
      </c>
    </row>
    <row r="747" spans="1:5" x14ac:dyDescent="0.2">
      <c r="A747" s="228" t="s">
        <v>975</v>
      </c>
      <c r="B747" s="298">
        <v>46.000810000000001</v>
      </c>
      <c r="E747" s="280">
        <v>26</v>
      </c>
    </row>
    <row r="748" spans="1:5" x14ac:dyDescent="0.2">
      <c r="A748" s="228" t="s">
        <v>976</v>
      </c>
      <c r="B748" s="298">
        <v>46.992890000000003</v>
      </c>
      <c r="E748" s="280">
        <v>26</v>
      </c>
    </row>
    <row r="749" spans="1:5" x14ac:dyDescent="0.2">
      <c r="A749" s="228" t="s">
        <v>977</v>
      </c>
      <c r="B749" s="298">
        <v>47.980559999999997</v>
      </c>
      <c r="E749" s="280">
        <v>26</v>
      </c>
    </row>
    <row r="750" spans="1:5" x14ac:dyDescent="0.2">
      <c r="A750" s="228" t="s">
        <v>978</v>
      </c>
      <c r="B750" s="298">
        <v>48.973610000000001</v>
      </c>
      <c r="E750" s="280">
        <v>26</v>
      </c>
    </row>
    <row r="751" spans="1:5" x14ac:dyDescent="0.2">
      <c r="A751" s="228" t="s">
        <v>979</v>
      </c>
      <c r="B751" s="298">
        <v>49.962993167999997</v>
      </c>
      <c r="E751" s="280">
        <v>26</v>
      </c>
    </row>
    <row r="752" spans="1:5" x14ac:dyDescent="0.2">
      <c r="A752" s="228" t="s">
        <v>980</v>
      </c>
      <c r="B752" s="298">
        <v>50.956824787999999</v>
      </c>
      <c r="E752" s="280">
        <v>26</v>
      </c>
    </row>
    <row r="753" spans="1:5" x14ac:dyDescent="0.2">
      <c r="A753" s="228" t="s">
        <v>981</v>
      </c>
      <c r="B753" s="298">
        <v>51.948116376999998</v>
      </c>
      <c r="E753" s="280">
        <v>26</v>
      </c>
    </row>
    <row r="754" spans="1:5" x14ac:dyDescent="0.2">
      <c r="A754" s="228" t="s">
        <v>982</v>
      </c>
      <c r="B754" s="298">
        <v>52.945312133000002</v>
      </c>
      <c r="E754" s="280">
        <v>26</v>
      </c>
    </row>
    <row r="755" spans="1:5" x14ac:dyDescent="0.2">
      <c r="A755" s="228" t="s">
        <v>983</v>
      </c>
      <c r="B755" s="298">
        <v>53.939614687000002</v>
      </c>
      <c r="C755" s="280">
        <v>0</v>
      </c>
      <c r="E755" s="280">
        <v>26</v>
      </c>
    </row>
    <row r="756" spans="1:5" x14ac:dyDescent="0.2">
      <c r="A756" s="228" t="s">
        <v>984</v>
      </c>
      <c r="B756" s="298">
        <v>54.938297898999998</v>
      </c>
      <c r="C756" s="280">
        <v>2.73</v>
      </c>
      <c r="D756" s="280" t="s">
        <v>249</v>
      </c>
      <c r="E756" s="280">
        <v>26</v>
      </c>
    </row>
    <row r="757" spans="1:5" x14ac:dyDescent="0.2">
      <c r="A757" s="228" t="s">
        <v>985</v>
      </c>
      <c r="B757" s="298">
        <v>55.934941770000002</v>
      </c>
      <c r="C757" s="280">
        <v>0</v>
      </c>
      <c r="E757" s="280">
        <v>26</v>
      </c>
    </row>
    <row r="758" spans="1:5" x14ac:dyDescent="0.2">
      <c r="A758" s="228" t="s">
        <v>986</v>
      </c>
      <c r="B758" s="298">
        <v>56.935398343999999</v>
      </c>
      <c r="C758" s="280">
        <v>0</v>
      </c>
      <c r="E758" s="280">
        <v>26</v>
      </c>
    </row>
    <row r="759" spans="1:5" x14ac:dyDescent="0.2">
      <c r="A759" s="228" t="s">
        <v>987</v>
      </c>
      <c r="B759" s="298">
        <v>57.933280097999997</v>
      </c>
      <c r="C759" s="280">
        <v>0</v>
      </c>
      <c r="E759" s="280">
        <v>26</v>
      </c>
    </row>
    <row r="760" spans="1:5" x14ac:dyDescent="0.2">
      <c r="A760" s="228" t="s">
        <v>988</v>
      </c>
      <c r="B760" s="298">
        <v>58.934880133</v>
      </c>
      <c r="C760" s="280">
        <v>44.51</v>
      </c>
      <c r="D760" s="280" t="s">
        <v>192</v>
      </c>
      <c r="E760" s="280">
        <v>26</v>
      </c>
    </row>
    <row r="761" spans="1:5" x14ac:dyDescent="0.2">
      <c r="A761" s="228" t="s">
        <v>989</v>
      </c>
      <c r="B761" s="298">
        <v>59.934076583</v>
      </c>
      <c r="C761" s="282">
        <v>1500000</v>
      </c>
      <c r="D761" s="280" t="s">
        <v>249</v>
      </c>
      <c r="E761" s="280">
        <v>26</v>
      </c>
    </row>
    <row r="762" spans="1:5" x14ac:dyDescent="0.2">
      <c r="A762" s="228" t="s">
        <v>990</v>
      </c>
      <c r="B762" s="298">
        <v>60.936749128999999</v>
      </c>
      <c r="E762" s="280">
        <v>26</v>
      </c>
    </row>
    <row r="763" spans="1:5" x14ac:dyDescent="0.2">
      <c r="A763" s="228" t="s">
        <v>991</v>
      </c>
      <c r="B763" s="298">
        <v>61.936770162999998</v>
      </c>
      <c r="E763" s="280">
        <v>26</v>
      </c>
    </row>
    <row r="764" spans="1:5" x14ac:dyDescent="0.2">
      <c r="A764" s="228" t="s">
        <v>992</v>
      </c>
      <c r="B764" s="298">
        <v>62.940404258000001</v>
      </c>
      <c r="E764" s="280">
        <v>26</v>
      </c>
    </row>
    <row r="765" spans="1:5" x14ac:dyDescent="0.2">
      <c r="A765" s="228" t="s">
        <v>993</v>
      </c>
      <c r="B765" s="298">
        <v>63.941060800000002</v>
      </c>
      <c r="E765" s="280">
        <v>26</v>
      </c>
    </row>
    <row r="766" spans="1:5" x14ac:dyDescent="0.2">
      <c r="A766" s="228" t="s">
        <v>994</v>
      </c>
      <c r="B766" s="298">
        <v>64.944940000000003</v>
      </c>
      <c r="E766" s="280">
        <v>26</v>
      </c>
    </row>
    <row r="767" spans="1:5" x14ac:dyDescent="0.2">
      <c r="A767" s="228" t="s">
        <v>995</v>
      </c>
      <c r="B767" s="298">
        <v>65.945980000000006</v>
      </c>
      <c r="E767" s="280">
        <v>26</v>
      </c>
    </row>
    <row r="768" spans="1:5" x14ac:dyDescent="0.2">
      <c r="A768" s="228" t="s">
        <v>996</v>
      </c>
      <c r="B768" s="298">
        <v>66.95</v>
      </c>
      <c r="E768" s="280">
        <v>26</v>
      </c>
    </row>
    <row r="769" spans="1:5" x14ac:dyDescent="0.2">
      <c r="A769" s="228" t="s">
        <v>997</v>
      </c>
      <c r="B769" s="298">
        <v>67.952510000000004</v>
      </c>
      <c r="E769" s="280">
        <v>26</v>
      </c>
    </row>
    <row r="770" spans="1:5" x14ac:dyDescent="0.2">
      <c r="A770" s="287" t="s">
        <v>3171</v>
      </c>
      <c r="B770" s="299">
        <v>257</v>
      </c>
      <c r="C770" s="288"/>
      <c r="D770" s="288"/>
      <c r="E770" s="288">
        <v>100</v>
      </c>
    </row>
    <row r="771" spans="1:5" x14ac:dyDescent="0.2">
      <c r="A771" s="228" t="s">
        <v>998</v>
      </c>
      <c r="B771" s="298">
        <v>243.074502</v>
      </c>
      <c r="E771" s="280">
        <v>100</v>
      </c>
    </row>
    <row r="772" spans="1:5" x14ac:dyDescent="0.2">
      <c r="A772" s="228" t="s">
        <v>999</v>
      </c>
      <c r="B772" s="298">
        <v>244.07413</v>
      </c>
      <c r="E772" s="280">
        <v>100</v>
      </c>
    </row>
    <row r="773" spans="1:5" x14ac:dyDescent="0.2">
      <c r="A773" s="228" t="s">
        <v>1000</v>
      </c>
      <c r="B773" s="298">
        <v>245.075378</v>
      </c>
      <c r="E773" s="280">
        <v>100</v>
      </c>
    </row>
    <row r="774" spans="1:5" x14ac:dyDescent="0.2">
      <c r="A774" s="228" t="s">
        <v>1001</v>
      </c>
      <c r="B774" s="298">
        <v>246.07528152099999</v>
      </c>
      <c r="E774" s="280">
        <v>100</v>
      </c>
    </row>
    <row r="775" spans="1:5" x14ac:dyDescent="0.2">
      <c r="A775" s="228" t="s">
        <v>1002</v>
      </c>
      <c r="B775" s="298">
        <v>247.07677699999999</v>
      </c>
      <c r="E775" s="280">
        <v>100</v>
      </c>
    </row>
    <row r="776" spans="1:5" x14ac:dyDescent="0.2">
      <c r="A776" s="228" t="s">
        <v>1003</v>
      </c>
      <c r="B776" s="298">
        <v>248.07718404600001</v>
      </c>
      <c r="E776" s="280">
        <v>100</v>
      </c>
    </row>
    <row r="777" spans="1:5" x14ac:dyDescent="0.2">
      <c r="A777" s="228" t="s">
        <v>1004</v>
      </c>
      <c r="B777" s="298">
        <v>249.07902300000001</v>
      </c>
      <c r="E777" s="280">
        <v>100</v>
      </c>
    </row>
    <row r="778" spans="1:5" x14ac:dyDescent="0.2">
      <c r="A778" s="228" t="s">
        <v>1005</v>
      </c>
      <c r="B778" s="298">
        <v>250.079513848</v>
      </c>
      <c r="E778" s="280">
        <v>100</v>
      </c>
    </row>
    <row r="779" spans="1:5" x14ac:dyDescent="0.2">
      <c r="A779" s="228" t="s">
        <v>1006</v>
      </c>
      <c r="B779" s="298">
        <v>251.081565555</v>
      </c>
      <c r="E779" s="280">
        <v>100</v>
      </c>
    </row>
    <row r="780" spans="1:5" x14ac:dyDescent="0.2">
      <c r="A780" s="228" t="s">
        <v>1007</v>
      </c>
      <c r="B780" s="298">
        <v>252.08245910599999</v>
      </c>
      <c r="E780" s="280">
        <v>100</v>
      </c>
    </row>
    <row r="781" spans="1:5" x14ac:dyDescent="0.2">
      <c r="A781" s="228" t="s">
        <v>1008</v>
      </c>
      <c r="B781" s="298">
        <v>253.08517534200001</v>
      </c>
      <c r="E781" s="280">
        <v>100</v>
      </c>
    </row>
    <row r="782" spans="1:5" x14ac:dyDescent="0.2">
      <c r="A782" s="228" t="s">
        <v>1009</v>
      </c>
      <c r="B782" s="298">
        <v>254.08684674700001</v>
      </c>
      <c r="E782" s="280">
        <v>100</v>
      </c>
    </row>
    <row r="783" spans="1:5" x14ac:dyDescent="0.2">
      <c r="A783" s="228" t="s">
        <v>1010</v>
      </c>
      <c r="B783" s="298">
        <v>255.089955449</v>
      </c>
      <c r="E783" s="280">
        <v>100</v>
      </c>
    </row>
    <row r="784" spans="1:5" x14ac:dyDescent="0.2">
      <c r="A784" s="228" t="s">
        <v>1011</v>
      </c>
      <c r="B784" s="298">
        <v>256.09176556099999</v>
      </c>
      <c r="E784" s="280">
        <v>100</v>
      </c>
    </row>
    <row r="785" spans="1:5" x14ac:dyDescent="0.2">
      <c r="A785" s="228" t="s">
        <v>1012</v>
      </c>
      <c r="B785" s="298">
        <v>257.09509600899997</v>
      </c>
      <c r="E785" s="280">
        <v>100</v>
      </c>
    </row>
    <row r="786" spans="1:5" x14ac:dyDescent="0.2">
      <c r="A786" s="228" t="s">
        <v>1013</v>
      </c>
      <c r="B786" s="298">
        <v>258.09711099999998</v>
      </c>
      <c r="E786" s="280">
        <v>100</v>
      </c>
    </row>
    <row r="787" spans="1:5" x14ac:dyDescent="0.2">
      <c r="A787" s="228" t="s">
        <v>1014</v>
      </c>
      <c r="B787" s="298">
        <v>259.10059000000001</v>
      </c>
      <c r="E787" s="280">
        <v>100</v>
      </c>
    </row>
    <row r="788" spans="1:5" x14ac:dyDescent="0.2">
      <c r="A788" s="287" t="s">
        <v>1015</v>
      </c>
      <c r="B788" s="299">
        <v>223</v>
      </c>
      <c r="C788" s="288">
        <v>0</v>
      </c>
      <c r="D788" s="288">
        <v>0</v>
      </c>
      <c r="E788" s="288">
        <v>87</v>
      </c>
    </row>
    <row r="789" spans="1:5" x14ac:dyDescent="0.2">
      <c r="A789" s="228" t="s">
        <v>1016</v>
      </c>
      <c r="B789" s="298">
        <v>201.003985</v>
      </c>
      <c r="E789" s="280">
        <v>87</v>
      </c>
    </row>
    <row r="790" spans="1:5" x14ac:dyDescent="0.2">
      <c r="A790" s="228" t="s">
        <v>1017</v>
      </c>
      <c r="B790" s="298">
        <v>202.00329099999999</v>
      </c>
      <c r="E790" s="280">
        <v>87</v>
      </c>
    </row>
    <row r="791" spans="1:5" x14ac:dyDescent="0.2">
      <c r="A791" s="228" t="s">
        <v>1018</v>
      </c>
      <c r="B791" s="298">
        <v>203.001048</v>
      </c>
      <c r="E791" s="280">
        <v>87</v>
      </c>
    </row>
    <row r="792" spans="1:5" x14ac:dyDescent="0.2">
      <c r="A792" s="228" t="s">
        <v>1019</v>
      </c>
      <c r="B792" s="298">
        <v>204.00059455300001</v>
      </c>
      <c r="E792" s="280">
        <v>87</v>
      </c>
    </row>
    <row r="793" spans="1:5" x14ac:dyDescent="0.2">
      <c r="A793" s="228" t="s">
        <v>1020</v>
      </c>
      <c r="B793" s="298">
        <v>204.99866711300001</v>
      </c>
      <c r="E793" s="280">
        <v>87</v>
      </c>
    </row>
    <row r="794" spans="1:5" x14ac:dyDescent="0.2">
      <c r="A794" s="228" t="s">
        <v>1021</v>
      </c>
      <c r="B794" s="298">
        <v>205.99848462899999</v>
      </c>
      <c r="E794" s="280">
        <v>87</v>
      </c>
    </row>
    <row r="795" spans="1:5" x14ac:dyDescent="0.2">
      <c r="A795" s="228" t="s">
        <v>1022</v>
      </c>
      <c r="B795" s="298">
        <v>206.99685508499999</v>
      </c>
      <c r="E795" s="280">
        <v>87</v>
      </c>
    </row>
    <row r="796" spans="1:5" x14ac:dyDescent="0.2">
      <c r="A796" s="228" t="s">
        <v>1023</v>
      </c>
      <c r="B796" s="298">
        <v>207.99713215599999</v>
      </c>
      <c r="E796" s="280">
        <v>87</v>
      </c>
    </row>
    <row r="797" spans="1:5" x14ac:dyDescent="0.2">
      <c r="A797" s="228" t="s">
        <v>1024</v>
      </c>
      <c r="B797" s="298">
        <v>208.99591735300001</v>
      </c>
      <c r="E797" s="280">
        <v>87</v>
      </c>
    </row>
    <row r="798" spans="1:5" x14ac:dyDescent="0.2">
      <c r="A798" s="228" t="s">
        <v>1025</v>
      </c>
      <c r="B798" s="298">
        <v>209.99640224000001</v>
      </c>
      <c r="E798" s="280">
        <v>87</v>
      </c>
    </row>
    <row r="799" spans="1:5" x14ac:dyDescent="0.2">
      <c r="A799" s="228" t="s">
        <v>1026</v>
      </c>
      <c r="B799" s="298">
        <v>210.99552878099999</v>
      </c>
      <c r="E799" s="280">
        <v>87</v>
      </c>
    </row>
    <row r="800" spans="1:5" x14ac:dyDescent="0.2">
      <c r="A800" s="228" t="s">
        <v>1027</v>
      </c>
      <c r="B800" s="298">
        <v>211.99618226499999</v>
      </c>
      <c r="E800" s="280">
        <v>87</v>
      </c>
    </row>
    <row r="801" spans="1:5" x14ac:dyDescent="0.2">
      <c r="A801" s="228" t="s">
        <v>1028</v>
      </c>
      <c r="B801" s="298">
        <v>212.996174448</v>
      </c>
      <c r="E801" s="280">
        <v>87</v>
      </c>
    </row>
    <row r="802" spans="1:5" x14ac:dyDescent="0.2">
      <c r="A802" s="228" t="s">
        <v>1029</v>
      </c>
      <c r="B802" s="298">
        <v>213.99895371400001</v>
      </c>
      <c r="E802" s="280">
        <v>87</v>
      </c>
    </row>
    <row r="803" spans="1:5" x14ac:dyDescent="0.2">
      <c r="A803" s="228" t="s">
        <v>1030</v>
      </c>
      <c r="B803" s="298">
        <v>215.000326401</v>
      </c>
      <c r="E803" s="280">
        <v>87</v>
      </c>
    </row>
    <row r="804" spans="1:5" x14ac:dyDescent="0.2">
      <c r="A804" s="228" t="s">
        <v>1031</v>
      </c>
      <c r="B804" s="298">
        <v>216.00318826399999</v>
      </c>
      <c r="E804" s="280">
        <v>87</v>
      </c>
    </row>
    <row r="805" spans="1:5" x14ac:dyDescent="0.2">
      <c r="A805" s="228" t="s">
        <v>1032</v>
      </c>
      <c r="B805" s="298">
        <v>217.00461684199999</v>
      </c>
      <c r="E805" s="280">
        <v>87</v>
      </c>
    </row>
    <row r="806" spans="1:5" x14ac:dyDescent="0.2">
      <c r="A806" s="228" t="s">
        <v>1033</v>
      </c>
      <c r="B806" s="298">
        <v>218.007563718</v>
      </c>
      <c r="E806" s="280">
        <v>87</v>
      </c>
    </row>
    <row r="807" spans="1:5" x14ac:dyDescent="0.2">
      <c r="A807" s="228" t="s">
        <v>1034</v>
      </c>
      <c r="B807" s="298">
        <v>219.00924075899999</v>
      </c>
      <c r="E807" s="280">
        <v>87</v>
      </c>
    </row>
    <row r="808" spans="1:5" x14ac:dyDescent="0.2">
      <c r="A808" s="228" t="s">
        <v>1035</v>
      </c>
      <c r="B808" s="298">
        <v>220.012312584</v>
      </c>
      <c r="E808" s="280">
        <v>87</v>
      </c>
    </row>
    <row r="809" spans="1:5" x14ac:dyDescent="0.2">
      <c r="A809" s="228" t="s">
        <v>1036</v>
      </c>
      <c r="B809" s="298">
        <v>221.01424510300001</v>
      </c>
      <c r="E809" s="280">
        <v>87</v>
      </c>
    </row>
    <row r="810" spans="1:5" x14ac:dyDescent="0.2">
      <c r="A810" s="228" t="s">
        <v>1037</v>
      </c>
      <c r="B810" s="298">
        <v>222.01754257600001</v>
      </c>
      <c r="E810" s="280">
        <v>87</v>
      </c>
    </row>
    <row r="811" spans="1:5" x14ac:dyDescent="0.2">
      <c r="A811" s="228" t="s">
        <v>1038</v>
      </c>
      <c r="B811" s="298">
        <v>223.01973090300001</v>
      </c>
      <c r="E811" s="280">
        <v>87</v>
      </c>
    </row>
    <row r="812" spans="1:5" x14ac:dyDescent="0.2">
      <c r="A812" s="228" t="s">
        <v>1039</v>
      </c>
      <c r="B812" s="298">
        <v>224.02322793799999</v>
      </c>
      <c r="E812" s="280">
        <v>87</v>
      </c>
    </row>
    <row r="813" spans="1:5" x14ac:dyDescent="0.2">
      <c r="A813" s="228" t="s">
        <v>1040</v>
      </c>
      <c r="B813" s="298">
        <v>225.02560560399999</v>
      </c>
      <c r="E813" s="280">
        <v>87</v>
      </c>
    </row>
    <row r="814" spans="1:5" x14ac:dyDescent="0.2">
      <c r="A814" s="228" t="s">
        <v>1041</v>
      </c>
      <c r="B814" s="298">
        <v>226.02930240800001</v>
      </c>
      <c r="E814" s="280">
        <v>87</v>
      </c>
    </row>
    <row r="815" spans="1:5" x14ac:dyDescent="0.2">
      <c r="A815" s="228" t="s">
        <v>1042</v>
      </c>
      <c r="B815" s="298">
        <v>227.03183875100001</v>
      </c>
      <c r="E815" s="280">
        <v>87</v>
      </c>
    </row>
    <row r="816" spans="1:5" x14ac:dyDescent="0.2">
      <c r="A816" s="228" t="s">
        <v>1043</v>
      </c>
      <c r="B816" s="298">
        <v>228.03572013900001</v>
      </c>
      <c r="E816" s="280">
        <v>87</v>
      </c>
    </row>
    <row r="817" spans="1:5" x14ac:dyDescent="0.2">
      <c r="A817" s="287" t="s">
        <v>1044</v>
      </c>
      <c r="B817" s="299">
        <v>69.72</v>
      </c>
      <c r="C817" s="288">
        <v>0</v>
      </c>
      <c r="D817" s="288">
        <v>0</v>
      </c>
      <c r="E817" s="288">
        <v>31</v>
      </c>
    </row>
    <row r="818" spans="1:5" x14ac:dyDescent="0.2">
      <c r="A818" s="228" t="s">
        <v>1045</v>
      </c>
      <c r="B818" s="298">
        <v>55.994909999999997</v>
      </c>
      <c r="E818" s="280">
        <v>31</v>
      </c>
    </row>
    <row r="819" spans="1:5" x14ac:dyDescent="0.2">
      <c r="A819" s="228" t="s">
        <v>1046</v>
      </c>
      <c r="B819" s="298">
        <v>56.982379999999999</v>
      </c>
      <c r="E819" s="280">
        <v>31</v>
      </c>
    </row>
    <row r="820" spans="1:5" x14ac:dyDescent="0.2">
      <c r="A820" s="228" t="s">
        <v>1047</v>
      </c>
      <c r="B820" s="298">
        <v>57.974249999999998</v>
      </c>
      <c r="E820" s="280">
        <v>31</v>
      </c>
    </row>
    <row r="821" spans="1:5" x14ac:dyDescent="0.2">
      <c r="A821" s="228" t="s">
        <v>1048</v>
      </c>
      <c r="B821" s="298">
        <v>58.963369999999998</v>
      </c>
      <c r="E821" s="280">
        <v>31</v>
      </c>
    </row>
    <row r="822" spans="1:5" x14ac:dyDescent="0.2">
      <c r="A822" s="228" t="s">
        <v>1049</v>
      </c>
      <c r="B822" s="298">
        <v>59.957059999999998</v>
      </c>
      <c r="E822" s="280">
        <v>31</v>
      </c>
    </row>
    <row r="823" spans="1:5" x14ac:dyDescent="0.2">
      <c r="A823" s="228" t="s">
        <v>1050</v>
      </c>
      <c r="B823" s="298">
        <v>60.949170000000002</v>
      </c>
      <c r="E823" s="280">
        <v>31</v>
      </c>
    </row>
    <row r="824" spans="1:5" x14ac:dyDescent="0.2">
      <c r="A824" s="228" t="s">
        <v>1051</v>
      </c>
      <c r="B824" s="298">
        <v>61.944179147</v>
      </c>
      <c r="E824" s="280">
        <v>31</v>
      </c>
    </row>
    <row r="825" spans="1:5" x14ac:dyDescent="0.2">
      <c r="A825" s="228" t="s">
        <v>1052</v>
      </c>
      <c r="B825" s="298">
        <v>62.939141102999997</v>
      </c>
      <c r="E825" s="280">
        <v>31</v>
      </c>
    </row>
    <row r="826" spans="1:5" x14ac:dyDescent="0.2">
      <c r="A826" s="228" t="s">
        <v>1053</v>
      </c>
      <c r="B826" s="298">
        <v>63.936837847</v>
      </c>
      <c r="E826" s="280">
        <v>31</v>
      </c>
    </row>
    <row r="827" spans="1:5" x14ac:dyDescent="0.2">
      <c r="A827" s="228" t="s">
        <v>1054</v>
      </c>
      <c r="B827" s="298">
        <v>64.932738861000004</v>
      </c>
      <c r="E827" s="280">
        <v>31</v>
      </c>
    </row>
    <row r="828" spans="1:5" x14ac:dyDescent="0.2">
      <c r="A828" s="228" t="s">
        <v>1055</v>
      </c>
      <c r="B828" s="298">
        <v>65.931592018000003</v>
      </c>
      <c r="E828" s="280">
        <v>31</v>
      </c>
    </row>
    <row r="829" spans="1:5" x14ac:dyDescent="0.2">
      <c r="A829" s="228" t="s">
        <v>1056</v>
      </c>
      <c r="B829" s="298">
        <v>66.928204575999999</v>
      </c>
      <c r="E829" s="280">
        <v>31</v>
      </c>
    </row>
    <row r="830" spans="1:5" x14ac:dyDescent="0.2">
      <c r="A830" s="228" t="s">
        <v>1057</v>
      </c>
      <c r="B830" s="298">
        <v>67.927983187999999</v>
      </c>
      <c r="E830" s="280">
        <v>31</v>
      </c>
    </row>
    <row r="831" spans="1:5" x14ac:dyDescent="0.2">
      <c r="A831" s="228" t="s">
        <v>1058</v>
      </c>
      <c r="B831" s="298">
        <v>68.925580666000002</v>
      </c>
      <c r="E831" s="280">
        <v>31</v>
      </c>
    </row>
    <row r="832" spans="1:5" x14ac:dyDescent="0.2">
      <c r="A832" s="228" t="s">
        <v>1059</v>
      </c>
      <c r="B832" s="298">
        <v>69.926027493000007</v>
      </c>
      <c r="E832" s="280">
        <v>31</v>
      </c>
    </row>
    <row r="833" spans="1:5" x14ac:dyDescent="0.2">
      <c r="A833" s="228" t="s">
        <v>1060</v>
      </c>
      <c r="B833" s="298">
        <v>70.924707350000006</v>
      </c>
      <c r="E833" s="280">
        <v>31</v>
      </c>
    </row>
    <row r="834" spans="1:5" x14ac:dyDescent="0.2">
      <c r="A834" s="228" t="s">
        <v>1061</v>
      </c>
      <c r="B834" s="298">
        <v>71.926371689999996</v>
      </c>
      <c r="E834" s="280">
        <v>31</v>
      </c>
    </row>
    <row r="835" spans="1:5" x14ac:dyDescent="0.2">
      <c r="A835" s="228" t="s">
        <v>1062</v>
      </c>
      <c r="B835" s="298">
        <v>72.925169984999997</v>
      </c>
      <c r="E835" s="280">
        <v>31</v>
      </c>
    </row>
    <row r="836" spans="1:5" x14ac:dyDescent="0.2">
      <c r="A836" s="228" t="s">
        <v>1063</v>
      </c>
      <c r="B836" s="298">
        <v>73.926941151999998</v>
      </c>
      <c r="E836" s="280">
        <v>31</v>
      </c>
    </row>
    <row r="837" spans="1:5" x14ac:dyDescent="0.2">
      <c r="A837" s="228" t="s">
        <v>1064</v>
      </c>
      <c r="B837" s="298">
        <v>74.926500797000003</v>
      </c>
      <c r="E837" s="280">
        <v>31</v>
      </c>
    </row>
    <row r="838" spans="1:5" x14ac:dyDescent="0.2">
      <c r="A838" s="228" t="s">
        <v>1065</v>
      </c>
      <c r="B838" s="298">
        <v>75.928928413999998</v>
      </c>
      <c r="E838" s="280">
        <v>31</v>
      </c>
    </row>
    <row r="839" spans="1:5" x14ac:dyDescent="0.2">
      <c r="A839" s="228" t="s">
        <v>1066</v>
      </c>
      <c r="B839" s="298">
        <v>76.929281341999996</v>
      </c>
      <c r="E839" s="280">
        <v>31</v>
      </c>
    </row>
    <row r="840" spans="1:5" x14ac:dyDescent="0.2">
      <c r="A840" s="228" t="s">
        <v>1067</v>
      </c>
      <c r="B840" s="298">
        <v>77.931656102999995</v>
      </c>
      <c r="E840" s="280">
        <v>31</v>
      </c>
    </row>
    <row r="841" spans="1:5" x14ac:dyDescent="0.2">
      <c r="A841" s="228" t="s">
        <v>1068</v>
      </c>
      <c r="B841" s="298">
        <v>78.932916606999996</v>
      </c>
      <c r="E841" s="280">
        <v>31</v>
      </c>
    </row>
    <row r="842" spans="1:5" x14ac:dyDescent="0.2">
      <c r="A842" s="228" t="s">
        <v>1069</v>
      </c>
      <c r="B842" s="298">
        <v>79.936588413999999</v>
      </c>
      <c r="E842" s="280">
        <v>31</v>
      </c>
    </row>
    <row r="843" spans="1:5" x14ac:dyDescent="0.2">
      <c r="A843" s="228" t="s">
        <v>1070</v>
      </c>
      <c r="B843" s="298">
        <v>80.937753237999999</v>
      </c>
      <c r="E843" s="280">
        <v>31</v>
      </c>
    </row>
    <row r="844" spans="1:5" x14ac:dyDescent="0.2">
      <c r="A844" s="228" t="s">
        <v>1071</v>
      </c>
      <c r="B844" s="298">
        <v>81.943160000000006</v>
      </c>
      <c r="E844" s="280">
        <v>31</v>
      </c>
    </row>
    <row r="845" spans="1:5" x14ac:dyDescent="0.2">
      <c r="A845" s="228" t="s">
        <v>1072</v>
      </c>
      <c r="B845" s="298">
        <v>82.946870000000004</v>
      </c>
      <c r="E845" s="280">
        <v>31</v>
      </c>
    </row>
    <row r="846" spans="1:5" x14ac:dyDescent="0.2">
      <c r="A846" s="228" t="s">
        <v>1073</v>
      </c>
      <c r="B846" s="298">
        <v>83.952340000000007</v>
      </c>
      <c r="E846" s="280">
        <v>31</v>
      </c>
    </row>
    <row r="847" spans="1:5" x14ac:dyDescent="0.2">
      <c r="A847" s="287" t="s">
        <v>1074</v>
      </c>
      <c r="B847" s="299">
        <v>157.25</v>
      </c>
      <c r="C847" s="288">
        <v>0</v>
      </c>
      <c r="D847" s="288">
        <v>0</v>
      </c>
      <c r="E847" s="288">
        <v>64</v>
      </c>
    </row>
    <row r="848" spans="1:5" x14ac:dyDescent="0.2">
      <c r="A848" s="228" t="s">
        <v>1075</v>
      </c>
      <c r="B848" s="298">
        <v>136.94465</v>
      </c>
      <c r="E848" s="280">
        <v>64</v>
      </c>
    </row>
    <row r="849" spans="1:5" x14ac:dyDescent="0.2">
      <c r="A849" s="228" t="s">
        <v>1076</v>
      </c>
      <c r="B849" s="298">
        <v>137.93996999999999</v>
      </c>
      <c r="E849" s="280">
        <v>64</v>
      </c>
    </row>
    <row r="850" spans="1:5" x14ac:dyDescent="0.2">
      <c r="A850" s="228" t="s">
        <v>1077</v>
      </c>
      <c r="B850" s="298">
        <v>138.93808000000001</v>
      </c>
      <c r="E850" s="280">
        <v>64</v>
      </c>
    </row>
    <row r="851" spans="1:5" x14ac:dyDescent="0.2">
      <c r="A851" s="228" t="s">
        <v>1078</v>
      </c>
      <c r="B851" s="298">
        <v>139.93396799999999</v>
      </c>
      <c r="E851" s="280">
        <v>64</v>
      </c>
    </row>
    <row r="852" spans="1:5" x14ac:dyDescent="0.2">
      <c r="A852" s="228" t="s">
        <v>1079</v>
      </c>
      <c r="B852" s="298">
        <v>140.93221</v>
      </c>
      <c r="E852" s="280">
        <v>64</v>
      </c>
    </row>
    <row r="853" spans="1:5" x14ac:dyDescent="0.2">
      <c r="A853" s="228" t="s">
        <v>1080</v>
      </c>
      <c r="B853" s="298">
        <v>141.92793599999999</v>
      </c>
      <c r="E853" s="280">
        <v>64</v>
      </c>
    </row>
    <row r="854" spans="1:5" x14ac:dyDescent="0.2">
      <c r="A854" s="228" t="s">
        <v>1081</v>
      </c>
      <c r="B854" s="298">
        <v>142.926622122</v>
      </c>
      <c r="E854" s="280">
        <v>64</v>
      </c>
    </row>
    <row r="855" spans="1:5" x14ac:dyDescent="0.2">
      <c r="A855" s="228" t="s">
        <v>1082</v>
      </c>
      <c r="B855" s="298">
        <v>143.92280500000001</v>
      </c>
      <c r="E855" s="280">
        <v>64</v>
      </c>
    </row>
    <row r="856" spans="1:5" x14ac:dyDescent="0.2">
      <c r="A856" s="228" t="s">
        <v>1083</v>
      </c>
      <c r="B856" s="298">
        <v>144.92168873200001</v>
      </c>
      <c r="E856" s="280">
        <v>64</v>
      </c>
    </row>
    <row r="857" spans="1:5" x14ac:dyDescent="0.2">
      <c r="A857" s="228" t="s">
        <v>1084</v>
      </c>
      <c r="B857" s="298">
        <v>145.918306444</v>
      </c>
      <c r="E857" s="280">
        <v>64</v>
      </c>
    </row>
    <row r="858" spans="1:5" x14ac:dyDescent="0.2">
      <c r="A858" s="228" t="s">
        <v>1085</v>
      </c>
      <c r="B858" s="298">
        <v>146.919090479</v>
      </c>
      <c r="E858" s="280">
        <v>64</v>
      </c>
    </row>
    <row r="859" spans="1:5" x14ac:dyDescent="0.2">
      <c r="A859" s="228" t="s">
        <v>1086</v>
      </c>
      <c r="B859" s="298">
        <v>147.91811087100001</v>
      </c>
      <c r="E859" s="280">
        <v>64</v>
      </c>
    </row>
    <row r="860" spans="1:5" x14ac:dyDescent="0.2">
      <c r="A860" s="228" t="s">
        <v>1087</v>
      </c>
      <c r="B860" s="298">
        <v>148.91933945400001</v>
      </c>
      <c r="E860" s="280">
        <v>64</v>
      </c>
    </row>
    <row r="861" spans="1:5" x14ac:dyDescent="0.2">
      <c r="A861" s="228" t="s">
        <v>1088</v>
      </c>
      <c r="B861" s="298">
        <v>149.91865612500001</v>
      </c>
      <c r="E861" s="280">
        <v>64</v>
      </c>
    </row>
    <row r="862" spans="1:5" x14ac:dyDescent="0.2">
      <c r="A862" s="228" t="s">
        <v>1089</v>
      </c>
      <c r="B862" s="298">
        <v>150.92034461899999</v>
      </c>
      <c r="E862" s="280">
        <v>64</v>
      </c>
    </row>
    <row r="863" spans="1:5" x14ac:dyDescent="0.2">
      <c r="A863" s="228" t="s">
        <v>1090</v>
      </c>
      <c r="B863" s="298">
        <v>151.91978881700001</v>
      </c>
      <c r="E863" s="280">
        <v>64</v>
      </c>
    </row>
    <row r="864" spans="1:5" x14ac:dyDescent="0.2">
      <c r="A864" s="228" t="s">
        <v>1091</v>
      </c>
      <c r="B864" s="298">
        <v>152.92174695</v>
      </c>
      <c r="E864" s="280">
        <v>64</v>
      </c>
    </row>
    <row r="865" spans="1:5" x14ac:dyDescent="0.2">
      <c r="A865" s="228" t="s">
        <v>1092</v>
      </c>
      <c r="B865" s="298">
        <v>153.920862387</v>
      </c>
      <c r="E865" s="280">
        <v>64</v>
      </c>
    </row>
    <row r="866" spans="1:5" x14ac:dyDescent="0.2">
      <c r="A866" s="228" t="s">
        <v>1093</v>
      </c>
      <c r="B866" s="298">
        <v>154.92261891699999</v>
      </c>
      <c r="E866" s="280">
        <v>64</v>
      </c>
    </row>
    <row r="867" spans="1:5" x14ac:dyDescent="0.2">
      <c r="A867" s="228" t="s">
        <v>1094</v>
      </c>
      <c r="B867" s="298">
        <v>155.92211966900001</v>
      </c>
      <c r="E867" s="280">
        <v>64</v>
      </c>
    </row>
    <row r="868" spans="1:5" x14ac:dyDescent="0.2">
      <c r="A868" s="228" t="s">
        <v>1095</v>
      </c>
      <c r="B868" s="298">
        <v>156.923956801</v>
      </c>
      <c r="E868" s="280">
        <v>64</v>
      </c>
    </row>
    <row r="869" spans="1:5" x14ac:dyDescent="0.2">
      <c r="A869" s="228" t="s">
        <v>1096</v>
      </c>
      <c r="B869" s="298">
        <v>157.92410064800001</v>
      </c>
      <c r="E869" s="280">
        <v>64</v>
      </c>
    </row>
    <row r="870" spans="1:5" x14ac:dyDescent="0.2">
      <c r="A870" s="228" t="s">
        <v>1097</v>
      </c>
      <c r="B870" s="298">
        <v>158.92638519100001</v>
      </c>
      <c r="E870" s="280">
        <v>64</v>
      </c>
    </row>
    <row r="871" spans="1:5" x14ac:dyDescent="0.2">
      <c r="A871" s="228" t="s">
        <v>1098</v>
      </c>
      <c r="B871" s="298">
        <v>159.927050726</v>
      </c>
      <c r="E871" s="280">
        <v>64</v>
      </c>
    </row>
    <row r="872" spans="1:5" x14ac:dyDescent="0.2">
      <c r="A872" s="228" t="s">
        <v>1099</v>
      </c>
      <c r="B872" s="298">
        <v>160.92966579700001</v>
      </c>
      <c r="E872" s="280">
        <v>64</v>
      </c>
    </row>
    <row r="873" spans="1:5" x14ac:dyDescent="0.2">
      <c r="A873" s="228" t="s">
        <v>1100</v>
      </c>
      <c r="B873" s="298">
        <v>161.93098132099999</v>
      </c>
      <c r="E873" s="280">
        <v>64</v>
      </c>
    </row>
    <row r="874" spans="1:5" x14ac:dyDescent="0.2">
      <c r="A874" s="228" t="s">
        <v>1101</v>
      </c>
      <c r="B874" s="298">
        <v>162.93398999999999</v>
      </c>
      <c r="E874" s="280">
        <v>64</v>
      </c>
    </row>
    <row r="875" spans="1:5" x14ac:dyDescent="0.2">
      <c r="A875" s="228" t="s">
        <v>1102</v>
      </c>
      <c r="B875" s="298">
        <v>163.93585999999999</v>
      </c>
      <c r="E875" s="280">
        <v>64</v>
      </c>
    </row>
    <row r="876" spans="1:5" x14ac:dyDescent="0.2">
      <c r="A876" s="228" t="s">
        <v>1103</v>
      </c>
      <c r="B876" s="298">
        <v>164.93938</v>
      </c>
      <c r="E876" s="280">
        <v>64</v>
      </c>
    </row>
    <row r="877" spans="1:5" x14ac:dyDescent="0.2">
      <c r="A877" s="287" t="s">
        <v>1104</v>
      </c>
      <c r="B877" s="299">
        <v>72.59</v>
      </c>
      <c r="C877" s="288">
        <v>0</v>
      </c>
      <c r="D877" s="288">
        <v>0</v>
      </c>
      <c r="E877" s="288">
        <v>32</v>
      </c>
    </row>
    <row r="878" spans="1:5" x14ac:dyDescent="0.2">
      <c r="A878" s="228" t="s">
        <v>1105</v>
      </c>
      <c r="B878" s="298">
        <v>57.991010000000003</v>
      </c>
      <c r="E878" s="280">
        <v>32</v>
      </c>
    </row>
    <row r="879" spans="1:5" x14ac:dyDescent="0.2">
      <c r="A879" s="228" t="s">
        <v>1106</v>
      </c>
      <c r="B879" s="298">
        <v>58.981749999999998</v>
      </c>
      <c r="E879" s="280">
        <v>32</v>
      </c>
    </row>
    <row r="880" spans="1:5" x14ac:dyDescent="0.2">
      <c r="A880" s="228" t="s">
        <v>1107</v>
      </c>
      <c r="B880" s="298">
        <v>59.970190000000002</v>
      </c>
      <c r="E880" s="280">
        <v>32</v>
      </c>
    </row>
    <row r="881" spans="1:5" x14ac:dyDescent="0.2">
      <c r="A881" s="228" t="s">
        <v>1108</v>
      </c>
      <c r="B881" s="298">
        <v>60.963790000000003</v>
      </c>
      <c r="E881" s="280">
        <v>32</v>
      </c>
    </row>
    <row r="882" spans="1:5" x14ac:dyDescent="0.2">
      <c r="A882" s="228" t="s">
        <v>1109</v>
      </c>
      <c r="B882" s="298">
        <v>61.954650000000001</v>
      </c>
      <c r="E882" s="280">
        <v>32</v>
      </c>
    </row>
    <row r="883" spans="1:5" x14ac:dyDescent="0.2">
      <c r="A883" s="228" t="s">
        <v>1110</v>
      </c>
      <c r="B883" s="298">
        <v>62.949640000000002</v>
      </c>
      <c r="E883" s="280">
        <v>32</v>
      </c>
    </row>
    <row r="884" spans="1:5" x14ac:dyDescent="0.2">
      <c r="A884" s="228" t="s">
        <v>1111</v>
      </c>
      <c r="B884" s="298">
        <v>63.941572176999998</v>
      </c>
      <c r="E884" s="280">
        <v>32</v>
      </c>
    </row>
    <row r="885" spans="1:5" x14ac:dyDescent="0.2">
      <c r="A885" s="228" t="s">
        <v>1112</v>
      </c>
      <c r="B885" s="298">
        <v>64.939440301000005</v>
      </c>
      <c r="E885" s="280">
        <v>32</v>
      </c>
    </row>
    <row r="886" spans="1:5" x14ac:dyDescent="0.2">
      <c r="A886" s="228" t="s">
        <v>1113</v>
      </c>
      <c r="B886" s="298">
        <v>65.933846461000002</v>
      </c>
      <c r="E886" s="280">
        <v>32</v>
      </c>
    </row>
    <row r="887" spans="1:5" x14ac:dyDescent="0.2">
      <c r="A887" s="228" t="s">
        <v>1114</v>
      </c>
      <c r="B887" s="298">
        <v>66.932737954999993</v>
      </c>
      <c r="E887" s="280">
        <v>32</v>
      </c>
    </row>
    <row r="888" spans="1:5" x14ac:dyDescent="0.2">
      <c r="A888" s="228" t="s">
        <v>1115</v>
      </c>
      <c r="B888" s="298">
        <v>67.928096896</v>
      </c>
      <c r="E888" s="280">
        <v>32</v>
      </c>
    </row>
    <row r="889" spans="1:5" x14ac:dyDescent="0.2">
      <c r="A889" s="228" t="s">
        <v>1116</v>
      </c>
      <c r="B889" s="298">
        <v>68.927971755000002</v>
      </c>
      <c r="E889" s="280">
        <v>32</v>
      </c>
    </row>
    <row r="890" spans="1:5" x14ac:dyDescent="0.2">
      <c r="A890" s="228" t="s">
        <v>1117</v>
      </c>
      <c r="B890" s="298">
        <v>69.924249993999993</v>
      </c>
      <c r="E890" s="280">
        <v>32</v>
      </c>
    </row>
    <row r="891" spans="1:5" x14ac:dyDescent="0.2">
      <c r="A891" s="228" t="s">
        <v>1118</v>
      </c>
      <c r="B891" s="298">
        <v>70.924953619999997</v>
      </c>
      <c r="E891" s="280">
        <v>32</v>
      </c>
    </row>
    <row r="892" spans="1:5" x14ac:dyDescent="0.2">
      <c r="A892" s="228" t="s">
        <v>1119</v>
      </c>
      <c r="B892" s="298">
        <v>71.922076336000003</v>
      </c>
      <c r="E892" s="280">
        <v>32</v>
      </c>
    </row>
    <row r="893" spans="1:5" x14ac:dyDescent="0.2">
      <c r="A893" s="228" t="s">
        <v>1120</v>
      </c>
      <c r="B893" s="298">
        <v>72.923459514000001</v>
      </c>
      <c r="E893" s="280">
        <v>32</v>
      </c>
    </row>
    <row r="894" spans="1:5" x14ac:dyDescent="0.2">
      <c r="A894" s="228" t="s">
        <v>1121</v>
      </c>
      <c r="B894" s="298">
        <v>73.921178366000007</v>
      </c>
      <c r="E894" s="280">
        <v>32</v>
      </c>
    </row>
    <row r="895" spans="1:5" x14ac:dyDescent="0.2">
      <c r="A895" s="228" t="s">
        <v>1122</v>
      </c>
      <c r="B895" s="298">
        <v>74.922859646999996</v>
      </c>
      <c r="E895" s="280">
        <v>32</v>
      </c>
    </row>
    <row r="896" spans="1:5" x14ac:dyDescent="0.2">
      <c r="A896" s="228" t="s">
        <v>1123</v>
      </c>
      <c r="B896" s="298">
        <v>75.921402868000001</v>
      </c>
      <c r="E896" s="280">
        <v>32</v>
      </c>
    </row>
    <row r="897" spans="1:5" x14ac:dyDescent="0.2">
      <c r="A897" s="228" t="s">
        <v>1124</v>
      </c>
      <c r="B897" s="298">
        <v>76.923548615000001</v>
      </c>
      <c r="E897" s="280">
        <v>32</v>
      </c>
    </row>
    <row r="898" spans="1:5" x14ac:dyDescent="0.2">
      <c r="A898" s="228" t="s">
        <v>1125</v>
      </c>
      <c r="B898" s="298">
        <v>77.922853039000003</v>
      </c>
      <c r="E898" s="280">
        <v>32</v>
      </c>
    </row>
    <row r="899" spans="1:5" x14ac:dyDescent="0.2">
      <c r="A899" s="228" t="s">
        <v>1126</v>
      </c>
      <c r="B899" s="298">
        <v>78.925401796000003</v>
      </c>
      <c r="E899" s="280">
        <v>32</v>
      </c>
    </row>
    <row r="900" spans="1:5" x14ac:dyDescent="0.2">
      <c r="A900" s="228" t="s">
        <v>1127</v>
      </c>
      <c r="B900" s="298">
        <v>79.925445022999995</v>
      </c>
      <c r="E900" s="280">
        <v>32</v>
      </c>
    </row>
    <row r="901" spans="1:5" x14ac:dyDescent="0.2">
      <c r="A901" s="228" t="s">
        <v>1128</v>
      </c>
      <c r="B901" s="298">
        <v>80.928821348</v>
      </c>
      <c r="E901" s="280">
        <v>32</v>
      </c>
    </row>
    <row r="902" spans="1:5" x14ac:dyDescent="0.2">
      <c r="A902" s="228" t="s">
        <v>1129</v>
      </c>
      <c r="B902" s="298">
        <v>81.929641412999999</v>
      </c>
      <c r="E902" s="280">
        <v>32</v>
      </c>
    </row>
    <row r="903" spans="1:5" x14ac:dyDescent="0.2">
      <c r="A903" s="228" t="s">
        <v>1130</v>
      </c>
      <c r="B903" s="298">
        <v>82.934510000000003</v>
      </c>
      <c r="E903" s="280">
        <v>32</v>
      </c>
    </row>
    <row r="904" spans="1:5" x14ac:dyDescent="0.2">
      <c r="A904" s="228" t="s">
        <v>1131</v>
      </c>
      <c r="B904" s="298">
        <v>83.937309999999997</v>
      </c>
      <c r="E904" s="280">
        <v>32</v>
      </c>
    </row>
    <row r="905" spans="1:5" x14ac:dyDescent="0.2">
      <c r="A905" s="228" t="s">
        <v>1132</v>
      </c>
      <c r="B905" s="298">
        <v>84.942689999999999</v>
      </c>
      <c r="E905" s="280">
        <v>32</v>
      </c>
    </row>
    <row r="906" spans="1:5" x14ac:dyDescent="0.2">
      <c r="A906" s="228" t="s">
        <v>1133</v>
      </c>
      <c r="B906" s="298">
        <v>85.946269999999998</v>
      </c>
      <c r="E906" s="280">
        <v>32</v>
      </c>
    </row>
    <row r="907" spans="1:5" x14ac:dyDescent="0.2">
      <c r="A907" s="287" t="s">
        <v>1134</v>
      </c>
      <c r="B907" s="299">
        <v>1.0079</v>
      </c>
      <c r="C907" s="288">
        <v>0</v>
      </c>
      <c r="D907" s="288">
        <v>0</v>
      </c>
      <c r="E907" s="288">
        <v>1</v>
      </c>
    </row>
    <row r="908" spans="1:5" x14ac:dyDescent="0.2">
      <c r="A908" s="228" t="s">
        <v>1135</v>
      </c>
      <c r="B908" s="298">
        <v>1.007825032</v>
      </c>
      <c r="C908" s="280">
        <v>0</v>
      </c>
      <c r="D908" s="280">
        <v>0</v>
      </c>
      <c r="E908" s="280">
        <v>1</v>
      </c>
    </row>
    <row r="909" spans="1:5" x14ac:dyDescent="0.2">
      <c r="A909" s="228" t="s">
        <v>1136</v>
      </c>
      <c r="B909" s="298">
        <v>2.0141017780000001</v>
      </c>
      <c r="C909" s="280">
        <v>0</v>
      </c>
      <c r="D909" s="280">
        <v>0</v>
      </c>
      <c r="E909" s="280">
        <v>1</v>
      </c>
    </row>
    <row r="910" spans="1:5" x14ac:dyDescent="0.2">
      <c r="A910" s="228" t="s">
        <v>1137</v>
      </c>
      <c r="B910" s="298">
        <v>3.0160492680000002</v>
      </c>
      <c r="C910" s="280">
        <v>12.3</v>
      </c>
      <c r="D910" s="280" t="s">
        <v>195</v>
      </c>
      <c r="E910" s="280">
        <v>1</v>
      </c>
    </row>
    <row r="911" spans="1:5" x14ac:dyDescent="0.2">
      <c r="A911" s="228" t="s">
        <v>1138</v>
      </c>
      <c r="B911" s="298">
        <v>4.0279139749999997</v>
      </c>
      <c r="E911" s="280">
        <v>1</v>
      </c>
    </row>
    <row r="912" spans="1:5" x14ac:dyDescent="0.2">
      <c r="A912" s="228" t="s">
        <v>1139</v>
      </c>
      <c r="B912" s="298">
        <v>5.0413233430000002</v>
      </c>
      <c r="E912" s="280">
        <v>1</v>
      </c>
    </row>
    <row r="913" spans="1:5" x14ac:dyDescent="0.2">
      <c r="A913" s="228" t="s">
        <v>1140</v>
      </c>
      <c r="B913" s="298">
        <v>6.0449426080000004</v>
      </c>
      <c r="E913" s="280">
        <v>1</v>
      </c>
    </row>
    <row r="914" spans="1:5" x14ac:dyDescent="0.2">
      <c r="A914" s="287" t="s">
        <v>3172</v>
      </c>
      <c r="B914" s="299">
        <v>262</v>
      </c>
      <c r="C914" s="288"/>
      <c r="D914" s="288"/>
      <c r="E914" s="288">
        <v>105</v>
      </c>
    </row>
    <row r="915" spans="1:5" x14ac:dyDescent="0.2">
      <c r="A915" s="228" t="s">
        <v>3149</v>
      </c>
      <c r="B915" s="298">
        <v>257.10784999999998</v>
      </c>
      <c r="E915" s="280">
        <v>105</v>
      </c>
    </row>
    <row r="916" spans="1:5" x14ac:dyDescent="0.2">
      <c r="A916" s="228" t="s">
        <v>3150</v>
      </c>
      <c r="B916" s="298">
        <v>258.10933</v>
      </c>
      <c r="E916" s="280">
        <v>105</v>
      </c>
    </row>
    <row r="917" spans="1:5" x14ac:dyDescent="0.2">
      <c r="A917" s="228" t="s">
        <v>3151</v>
      </c>
      <c r="B917" s="298">
        <v>259.10971999999998</v>
      </c>
      <c r="E917" s="280">
        <v>105</v>
      </c>
    </row>
    <row r="918" spans="1:5" x14ac:dyDescent="0.2">
      <c r="A918" s="228" t="s">
        <v>3152</v>
      </c>
      <c r="B918" s="298">
        <v>260.11143499999997</v>
      </c>
      <c r="E918" s="280">
        <v>105</v>
      </c>
    </row>
    <row r="919" spans="1:5" x14ac:dyDescent="0.2">
      <c r="A919" s="228" t="s">
        <v>3153</v>
      </c>
      <c r="B919" s="298">
        <v>261.11210599999998</v>
      </c>
      <c r="E919" s="280">
        <v>105</v>
      </c>
    </row>
    <row r="920" spans="1:5" x14ac:dyDescent="0.2">
      <c r="A920" s="228" t="s">
        <v>3154</v>
      </c>
      <c r="B920" s="298">
        <v>262.11437000000001</v>
      </c>
      <c r="E920" s="280">
        <v>105</v>
      </c>
    </row>
    <row r="921" spans="1:5" x14ac:dyDescent="0.2">
      <c r="A921" s="228" t="s">
        <v>3155</v>
      </c>
      <c r="B921" s="298">
        <v>263.11529200000001</v>
      </c>
      <c r="E921" s="280">
        <v>105</v>
      </c>
    </row>
    <row r="922" spans="1:5" x14ac:dyDescent="0.2">
      <c r="A922" s="228" t="s">
        <v>3156</v>
      </c>
      <c r="B922" s="298">
        <v>264.11768999999998</v>
      </c>
      <c r="E922" s="280">
        <v>105</v>
      </c>
    </row>
    <row r="923" spans="1:5" x14ac:dyDescent="0.2">
      <c r="A923" s="228" t="s">
        <v>3157</v>
      </c>
      <c r="B923" s="298">
        <v>265.11883999999998</v>
      </c>
      <c r="E923" s="280">
        <v>105</v>
      </c>
    </row>
    <row r="924" spans="1:5" x14ac:dyDescent="0.2">
      <c r="A924" s="228" t="s">
        <v>3158</v>
      </c>
      <c r="B924" s="298">
        <v>266.12130000000002</v>
      </c>
      <c r="E924" s="280">
        <v>105</v>
      </c>
    </row>
    <row r="925" spans="1:5" x14ac:dyDescent="0.2">
      <c r="A925" s="289" t="s">
        <v>1141</v>
      </c>
      <c r="B925" s="300">
        <v>4.0026000000000002</v>
      </c>
      <c r="C925" s="288">
        <v>0</v>
      </c>
      <c r="D925" s="288">
        <v>0</v>
      </c>
      <c r="E925" s="290">
        <v>2</v>
      </c>
    </row>
    <row r="926" spans="1:5" x14ac:dyDescent="0.2">
      <c r="A926" s="228" t="s">
        <v>1142</v>
      </c>
      <c r="B926" s="298">
        <v>3.0160293089999999</v>
      </c>
      <c r="C926" s="280">
        <v>0</v>
      </c>
      <c r="D926" s="280">
        <v>0</v>
      </c>
      <c r="E926" s="281">
        <v>2</v>
      </c>
    </row>
    <row r="927" spans="1:5" x14ac:dyDescent="0.2">
      <c r="A927" s="228" t="s">
        <v>1143</v>
      </c>
      <c r="B927" s="298">
        <v>4.0026032499999999</v>
      </c>
      <c r="C927" s="280">
        <v>0</v>
      </c>
      <c r="E927" s="281">
        <v>2</v>
      </c>
    </row>
    <row r="928" spans="1:5" x14ac:dyDescent="0.2">
      <c r="A928" s="228" t="s">
        <v>1144</v>
      </c>
      <c r="B928" s="298">
        <v>5.0122236280000001</v>
      </c>
      <c r="C928" s="282">
        <v>7.6000000000000005E-22</v>
      </c>
      <c r="D928" s="280" t="s">
        <v>168</v>
      </c>
      <c r="E928" s="281">
        <v>2</v>
      </c>
    </row>
    <row r="929" spans="1:5" x14ac:dyDescent="0.2">
      <c r="A929" s="228" t="s">
        <v>1145</v>
      </c>
      <c r="B929" s="298">
        <v>6.0188880889999998</v>
      </c>
      <c r="C929" s="280">
        <v>807</v>
      </c>
      <c r="D929" s="280" t="s">
        <v>184</v>
      </c>
      <c r="E929" s="281">
        <v>2</v>
      </c>
    </row>
    <row r="930" spans="1:5" x14ac:dyDescent="0.2">
      <c r="A930" s="228" t="s">
        <v>1146</v>
      </c>
      <c r="B930" s="298">
        <v>7.0280305519999997</v>
      </c>
      <c r="C930" s="282">
        <v>2.9999999999999999E-21</v>
      </c>
      <c r="D930" s="280" t="s">
        <v>168</v>
      </c>
      <c r="E930" s="281">
        <v>2</v>
      </c>
    </row>
    <row r="931" spans="1:5" x14ac:dyDescent="0.2">
      <c r="A931" s="228" t="s">
        <v>1147</v>
      </c>
      <c r="B931" s="298">
        <v>8.0339218060000004</v>
      </c>
      <c r="C931" s="280">
        <v>119</v>
      </c>
      <c r="D931" s="280" t="s">
        <v>184</v>
      </c>
      <c r="E931" s="281">
        <v>2</v>
      </c>
    </row>
    <row r="932" spans="1:5" x14ac:dyDescent="0.2">
      <c r="A932" s="228" t="s">
        <v>1148</v>
      </c>
      <c r="B932" s="298">
        <v>9.0438204360000007</v>
      </c>
      <c r="E932" s="281">
        <v>2</v>
      </c>
    </row>
    <row r="933" spans="1:5" x14ac:dyDescent="0.2">
      <c r="A933" s="287" t="s">
        <v>1149</v>
      </c>
      <c r="B933" s="299">
        <v>178.49</v>
      </c>
      <c r="C933" s="288">
        <v>0</v>
      </c>
      <c r="D933" s="288">
        <v>0</v>
      </c>
      <c r="E933" s="288">
        <v>72</v>
      </c>
    </row>
    <row r="934" spans="1:5" x14ac:dyDescent="0.2">
      <c r="A934" s="228" t="s">
        <v>1150</v>
      </c>
      <c r="B934" s="298">
        <v>153.96424999999999</v>
      </c>
      <c r="E934" s="280">
        <v>72</v>
      </c>
    </row>
    <row r="935" spans="1:5" x14ac:dyDescent="0.2">
      <c r="A935" s="228" t="s">
        <v>1151</v>
      </c>
      <c r="B935" s="298">
        <v>154.96276</v>
      </c>
      <c r="E935" s="280">
        <v>72</v>
      </c>
    </row>
    <row r="936" spans="1:5" x14ac:dyDescent="0.2">
      <c r="A936" s="228" t="s">
        <v>1152</v>
      </c>
      <c r="B936" s="298">
        <v>155.959247</v>
      </c>
      <c r="E936" s="280">
        <v>72</v>
      </c>
    </row>
    <row r="937" spans="1:5" x14ac:dyDescent="0.2">
      <c r="A937" s="228" t="s">
        <v>1153</v>
      </c>
      <c r="B937" s="298">
        <v>156.95812699999999</v>
      </c>
      <c r="E937" s="280">
        <v>72</v>
      </c>
    </row>
    <row r="938" spans="1:5" x14ac:dyDescent="0.2">
      <c r="A938" s="228" t="s">
        <v>1154</v>
      </c>
      <c r="B938" s="298">
        <v>157.95464799999999</v>
      </c>
      <c r="E938" s="280">
        <v>72</v>
      </c>
    </row>
    <row r="939" spans="1:5" x14ac:dyDescent="0.2">
      <c r="A939" s="228" t="s">
        <v>1155</v>
      </c>
      <c r="B939" s="298">
        <v>158.953833</v>
      </c>
      <c r="E939" s="280">
        <v>72</v>
      </c>
    </row>
    <row r="940" spans="1:5" x14ac:dyDescent="0.2">
      <c r="A940" s="228" t="s">
        <v>1156</v>
      </c>
      <c r="B940" s="298">
        <v>159.950633294</v>
      </c>
      <c r="E940" s="280">
        <v>72</v>
      </c>
    </row>
    <row r="941" spans="1:5" x14ac:dyDescent="0.2">
      <c r="A941" s="228" t="s">
        <v>1157</v>
      </c>
      <c r="B941" s="298">
        <v>160.95033219000001</v>
      </c>
      <c r="E941" s="280">
        <v>72</v>
      </c>
    </row>
    <row r="942" spans="1:5" x14ac:dyDescent="0.2">
      <c r="A942" s="228" t="s">
        <v>1158</v>
      </c>
      <c r="B942" s="298">
        <v>161.94720407599999</v>
      </c>
      <c r="E942" s="280">
        <v>72</v>
      </c>
    </row>
    <row r="943" spans="1:5" x14ac:dyDescent="0.2">
      <c r="A943" s="228" t="s">
        <v>1159</v>
      </c>
      <c r="B943" s="298">
        <v>162.94705500000001</v>
      </c>
      <c r="E943" s="280">
        <v>72</v>
      </c>
    </row>
    <row r="944" spans="1:5" x14ac:dyDescent="0.2">
      <c r="A944" s="228" t="s">
        <v>1160</v>
      </c>
      <c r="B944" s="298">
        <v>163.944422</v>
      </c>
      <c r="E944" s="280">
        <v>72</v>
      </c>
    </row>
    <row r="945" spans="1:5" x14ac:dyDescent="0.2">
      <c r="A945" s="228" t="s">
        <v>1161</v>
      </c>
      <c r="B945" s="298">
        <v>164.94453999999999</v>
      </c>
      <c r="E945" s="280">
        <v>72</v>
      </c>
    </row>
    <row r="946" spans="1:5" x14ac:dyDescent="0.2">
      <c r="A946" s="228" t="s">
        <v>1162</v>
      </c>
      <c r="B946" s="298">
        <v>165.94225</v>
      </c>
      <c r="E946" s="280">
        <v>72</v>
      </c>
    </row>
    <row r="947" spans="1:5" x14ac:dyDescent="0.2">
      <c r="A947" s="228" t="s">
        <v>1163</v>
      </c>
      <c r="B947" s="298">
        <v>166.9426</v>
      </c>
      <c r="E947" s="280">
        <v>72</v>
      </c>
    </row>
    <row r="948" spans="1:5" x14ac:dyDescent="0.2">
      <c r="A948" s="228" t="s">
        <v>1164</v>
      </c>
      <c r="B948" s="298">
        <v>167.94063</v>
      </c>
      <c r="E948" s="280">
        <v>72</v>
      </c>
    </row>
    <row r="949" spans="1:5" x14ac:dyDescent="0.2">
      <c r="A949" s="228" t="s">
        <v>1165</v>
      </c>
      <c r="B949" s="298">
        <v>168.94115883699999</v>
      </c>
      <c r="E949" s="280">
        <v>72</v>
      </c>
    </row>
    <row r="950" spans="1:5" x14ac:dyDescent="0.2">
      <c r="A950" s="228" t="s">
        <v>1166</v>
      </c>
      <c r="B950" s="298">
        <v>169.93965</v>
      </c>
      <c r="E950" s="280">
        <v>72</v>
      </c>
    </row>
    <row r="951" spans="1:5" x14ac:dyDescent="0.2">
      <c r="A951" s="228" t="s">
        <v>1167</v>
      </c>
      <c r="B951" s="298">
        <v>170.94049000000001</v>
      </c>
      <c r="E951" s="280">
        <v>72</v>
      </c>
    </row>
    <row r="952" spans="1:5" x14ac:dyDescent="0.2">
      <c r="A952" s="228" t="s">
        <v>1168</v>
      </c>
      <c r="B952" s="298">
        <v>171.93945823499999</v>
      </c>
      <c r="E952" s="280">
        <v>72</v>
      </c>
    </row>
    <row r="953" spans="1:5" x14ac:dyDescent="0.2">
      <c r="A953" s="228" t="s">
        <v>1169</v>
      </c>
      <c r="B953" s="298">
        <v>172.94065000000001</v>
      </c>
      <c r="E953" s="280">
        <v>72</v>
      </c>
    </row>
    <row r="954" spans="1:5" x14ac:dyDescent="0.2">
      <c r="A954" s="228" t="s">
        <v>1170</v>
      </c>
      <c r="B954" s="298">
        <v>173.94004152400001</v>
      </c>
      <c r="C954" s="282">
        <v>2000000000000000</v>
      </c>
      <c r="D954" s="280" t="s">
        <v>249</v>
      </c>
      <c r="E954" s="280">
        <v>72</v>
      </c>
    </row>
    <row r="955" spans="1:5" x14ac:dyDescent="0.2">
      <c r="A955" s="228" t="s">
        <v>1171</v>
      </c>
      <c r="B955" s="298">
        <v>174.94150434599999</v>
      </c>
      <c r="C955" s="280">
        <v>70</v>
      </c>
      <c r="D955" s="280" t="s">
        <v>192</v>
      </c>
      <c r="E955" s="280">
        <v>72</v>
      </c>
    </row>
    <row r="956" spans="1:5" x14ac:dyDescent="0.2">
      <c r="A956" s="228" t="s">
        <v>1172</v>
      </c>
      <c r="B956" s="298">
        <v>175.941403329</v>
      </c>
      <c r="C956" s="280">
        <v>0</v>
      </c>
      <c r="E956" s="280">
        <v>72</v>
      </c>
    </row>
    <row r="957" spans="1:5" x14ac:dyDescent="0.2">
      <c r="A957" s="228" t="s">
        <v>1173</v>
      </c>
      <c r="B957" s="298">
        <v>176.94322036700001</v>
      </c>
      <c r="C957" s="280">
        <v>51.4</v>
      </c>
      <c r="D957" s="280" t="s">
        <v>218</v>
      </c>
      <c r="E957" s="280">
        <v>72</v>
      </c>
    </row>
    <row r="958" spans="1:5" x14ac:dyDescent="0.2">
      <c r="A958" s="228" t="s">
        <v>1174</v>
      </c>
      <c r="B958" s="298">
        <v>177.94369809599999</v>
      </c>
      <c r="C958" s="280">
        <v>31</v>
      </c>
      <c r="D958" s="280" t="s">
        <v>249</v>
      </c>
      <c r="E958" s="280">
        <v>72</v>
      </c>
    </row>
    <row r="959" spans="1:5" x14ac:dyDescent="0.2">
      <c r="A959" s="228" t="s">
        <v>1175</v>
      </c>
      <c r="B959" s="298">
        <v>178.94581543800001</v>
      </c>
      <c r="C959" s="280">
        <v>25.1</v>
      </c>
      <c r="D959" s="280" t="s">
        <v>192</v>
      </c>
      <c r="E959" s="280">
        <v>72</v>
      </c>
    </row>
    <row r="960" spans="1:5" x14ac:dyDescent="0.2">
      <c r="A960" s="228" t="s">
        <v>1176</v>
      </c>
      <c r="B960" s="298">
        <v>179.946548772</v>
      </c>
      <c r="C960" s="280">
        <v>5.52</v>
      </c>
      <c r="D960" s="280" t="s">
        <v>199</v>
      </c>
      <c r="E960" s="280">
        <v>72</v>
      </c>
    </row>
    <row r="961" spans="1:5" x14ac:dyDescent="0.2">
      <c r="A961" s="228" t="s">
        <v>1177</v>
      </c>
      <c r="B961" s="298">
        <v>180.949099133</v>
      </c>
      <c r="C961" s="280">
        <v>42.4</v>
      </c>
      <c r="D961" s="280" t="s">
        <v>192</v>
      </c>
      <c r="E961" s="280">
        <v>72</v>
      </c>
    </row>
    <row r="962" spans="1:5" x14ac:dyDescent="0.2">
      <c r="A962" s="228" t="s">
        <v>1178</v>
      </c>
      <c r="B962" s="298">
        <v>181.95055290400001</v>
      </c>
      <c r="C962" s="282">
        <v>9000000</v>
      </c>
      <c r="D962" s="280" t="s">
        <v>249</v>
      </c>
      <c r="E962" s="280">
        <v>72</v>
      </c>
    </row>
    <row r="963" spans="1:5" x14ac:dyDescent="0.2">
      <c r="A963" s="228" t="s">
        <v>1179</v>
      </c>
      <c r="B963" s="298">
        <v>182.95353088499999</v>
      </c>
      <c r="E963" s="280">
        <v>72</v>
      </c>
    </row>
    <row r="964" spans="1:5" x14ac:dyDescent="0.2">
      <c r="A964" s="228" t="s">
        <v>1180</v>
      </c>
      <c r="B964" s="298">
        <v>183.955447655</v>
      </c>
      <c r="E964" s="280">
        <v>72</v>
      </c>
    </row>
    <row r="965" spans="1:5" x14ac:dyDescent="0.2">
      <c r="A965" s="287" t="s">
        <v>1181</v>
      </c>
      <c r="B965" s="299">
        <v>200.59</v>
      </c>
      <c r="C965" s="288">
        <v>0</v>
      </c>
      <c r="D965" s="288">
        <v>0</v>
      </c>
      <c r="E965" s="288">
        <v>80</v>
      </c>
    </row>
    <row r="966" spans="1:5" x14ac:dyDescent="0.2">
      <c r="A966" s="228" t="s">
        <v>1182</v>
      </c>
      <c r="B966" s="298">
        <v>173.992682</v>
      </c>
      <c r="E966" s="280">
        <v>80</v>
      </c>
    </row>
    <row r="967" spans="1:5" x14ac:dyDescent="0.2">
      <c r="A967" s="228" t="s">
        <v>1183</v>
      </c>
      <c r="B967" s="298">
        <v>174.991241</v>
      </c>
      <c r="E967" s="280">
        <v>80</v>
      </c>
    </row>
    <row r="968" spans="1:5" x14ac:dyDescent="0.2">
      <c r="A968" s="228" t="s">
        <v>1184</v>
      </c>
      <c r="B968" s="298">
        <v>175.987333767</v>
      </c>
      <c r="E968" s="280">
        <v>80</v>
      </c>
    </row>
    <row r="969" spans="1:5" x14ac:dyDescent="0.2">
      <c r="A969" s="228" t="s">
        <v>1185</v>
      </c>
      <c r="B969" s="298">
        <v>176.986339316</v>
      </c>
      <c r="E969" s="280">
        <v>80</v>
      </c>
    </row>
    <row r="970" spans="1:5" x14ac:dyDescent="0.2">
      <c r="A970" s="228" t="s">
        <v>1186</v>
      </c>
      <c r="B970" s="298">
        <v>177.98247877200001</v>
      </c>
      <c r="E970" s="280">
        <v>80</v>
      </c>
    </row>
    <row r="971" spans="1:5" x14ac:dyDescent="0.2">
      <c r="A971" s="228" t="s">
        <v>1187</v>
      </c>
      <c r="B971" s="298">
        <v>178.98178300000001</v>
      </c>
      <c r="E971" s="280">
        <v>80</v>
      </c>
    </row>
    <row r="972" spans="1:5" x14ac:dyDescent="0.2">
      <c r="A972" s="228" t="s">
        <v>1188</v>
      </c>
      <c r="B972" s="298">
        <v>179.97832199999999</v>
      </c>
      <c r="E972" s="280">
        <v>80</v>
      </c>
    </row>
    <row r="973" spans="1:5" x14ac:dyDescent="0.2">
      <c r="A973" s="228" t="s">
        <v>1189</v>
      </c>
      <c r="B973" s="298">
        <v>180.97780599999999</v>
      </c>
      <c r="E973" s="280">
        <v>80</v>
      </c>
    </row>
    <row r="974" spans="1:5" x14ac:dyDescent="0.2">
      <c r="A974" s="228" t="s">
        <v>1190</v>
      </c>
      <c r="B974" s="298">
        <v>181.974751</v>
      </c>
      <c r="E974" s="280">
        <v>80</v>
      </c>
    </row>
    <row r="975" spans="1:5" x14ac:dyDescent="0.2">
      <c r="A975" s="228" t="s">
        <v>1191</v>
      </c>
      <c r="B975" s="298">
        <v>182.974391</v>
      </c>
      <c r="E975" s="280">
        <v>80</v>
      </c>
    </row>
    <row r="976" spans="1:5" x14ac:dyDescent="0.2">
      <c r="A976" s="228" t="s">
        <v>1192</v>
      </c>
      <c r="B976" s="298">
        <v>183.97189599999999</v>
      </c>
      <c r="E976" s="280">
        <v>80</v>
      </c>
    </row>
    <row r="977" spans="1:5" x14ac:dyDescent="0.2">
      <c r="A977" s="228" t="s">
        <v>1193</v>
      </c>
      <c r="B977" s="298">
        <v>184.971992</v>
      </c>
      <c r="E977" s="280">
        <v>80</v>
      </c>
    </row>
    <row r="978" spans="1:5" x14ac:dyDescent="0.2">
      <c r="A978" s="228" t="s">
        <v>1194</v>
      </c>
      <c r="B978" s="298">
        <v>185.96945915399999</v>
      </c>
      <c r="E978" s="280">
        <v>80</v>
      </c>
    </row>
    <row r="979" spans="1:5" x14ac:dyDescent="0.2">
      <c r="A979" s="228" t="s">
        <v>1195</v>
      </c>
      <c r="B979" s="298">
        <v>186.969785</v>
      </c>
      <c r="E979" s="280">
        <v>80</v>
      </c>
    </row>
    <row r="980" spans="1:5" x14ac:dyDescent="0.2">
      <c r="A980" s="228" t="s">
        <v>1196</v>
      </c>
      <c r="B980" s="298">
        <v>187.96755200000001</v>
      </c>
      <c r="E980" s="280">
        <v>80</v>
      </c>
    </row>
    <row r="981" spans="1:5" x14ac:dyDescent="0.2">
      <c r="A981" s="228" t="s">
        <v>1197</v>
      </c>
      <c r="B981" s="298">
        <v>188.968132</v>
      </c>
      <c r="E981" s="280">
        <v>80</v>
      </c>
    </row>
    <row r="982" spans="1:5" x14ac:dyDescent="0.2">
      <c r="A982" s="228" t="s">
        <v>1198</v>
      </c>
      <c r="B982" s="298">
        <v>189.96628100000001</v>
      </c>
      <c r="E982" s="280">
        <v>80</v>
      </c>
    </row>
    <row r="983" spans="1:5" x14ac:dyDescent="0.2">
      <c r="A983" s="228" t="s">
        <v>1199</v>
      </c>
      <c r="B983" s="298">
        <v>190.967062777</v>
      </c>
      <c r="E983" s="280">
        <v>80</v>
      </c>
    </row>
    <row r="984" spans="1:5" x14ac:dyDescent="0.2">
      <c r="A984" s="228" t="s">
        <v>1200</v>
      </c>
      <c r="B984" s="298">
        <v>191.965574</v>
      </c>
      <c r="E984" s="280">
        <v>80</v>
      </c>
    </row>
    <row r="985" spans="1:5" x14ac:dyDescent="0.2">
      <c r="A985" s="228" t="s">
        <v>1201</v>
      </c>
      <c r="B985" s="298">
        <v>192.96664358499999</v>
      </c>
      <c r="E985" s="280">
        <v>80</v>
      </c>
    </row>
    <row r="986" spans="1:5" x14ac:dyDescent="0.2">
      <c r="A986" s="228" t="s">
        <v>1202</v>
      </c>
      <c r="B986" s="298">
        <v>193.96538127100001</v>
      </c>
      <c r="E986" s="280">
        <v>80</v>
      </c>
    </row>
    <row r="987" spans="1:5" x14ac:dyDescent="0.2">
      <c r="A987" s="228" t="s">
        <v>1203</v>
      </c>
      <c r="B987" s="298">
        <v>194.96663842000001</v>
      </c>
      <c r="E987" s="280">
        <v>80</v>
      </c>
    </row>
    <row r="988" spans="1:5" x14ac:dyDescent="0.2">
      <c r="A988" s="228" t="s">
        <v>1204</v>
      </c>
      <c r="B988" s="298">
        <v>195.96581447099999</v>
      </c>
      <c r="E988" s="280">
        <v>80</v>
      </c>
    </row>
    <row r="989" spans="1:5" x14ac:dyDescent="0.2">
      <c r="A989" s="228" t="s">
        <v>1205</v>
      </c>
      <c r="B989" s="298">
        <v>196.96719496399999</v>
      </c>
      <c r="E989" s="280">
        <v>80</v>
      </c>
    </row>
    <row r="990" spans="1:5" x14ac:dyDescent="0.2">
      <c r="A990" s="228" t="s">
        <v>1206</v>
      </c>
      <c r="B990" s="298">
        <v>197.96675152099999</v>
      </c>
      <c r="E990" s="280">
        <v>80</v>
      </c>
    </row>
    <row r="991" spans="1:5" x14ac:dyDescent="0.2">
      <c r="A991" s="228" t="s">
        <v>1207</v>
      </c>
      <c r="B991" s="298">
        <v>198.96826230100001</v>
      </c>
      <c r="E991" s="280">
        <v>80</v>
      </c>
    </row>
    <row r="992" spans="1:5" x14ac:dyDescent="0.2">
      <c r="A992" s="228" t="s">
        <v>1208</v>
      </c>
      <c r="B992" s="298">
        <v>199.96830853</v>
      </c>
      <c r="E992" s="280">
        <v>80</v>
      </c>
    </row>
    <row r="993" spans="1:5" x14ac:dyDescent="0.2">
      <c r="A993" s="228" t="s">
        <v>1209</v>
      </c>
      <c r="B993" s="298">
        <v>200.970285058</v>
      </c>
      <c r="E993" s="280">
        <v>80</v>
      </c>
    </row>
    <row r="994" spans="1:5" x14ac:dyDescent="0.2">
      <c r="A994" s="228" t="s">
        <v>1210</v>
      </c>
      <c r="B994" s="298">
        <v>201.97062538700001</v>
      </c>
      <c r="E994" s="280">
        <v>80</v>
      </c>
    </row>
    <row r="995" spans="1:5" x14ac:dyDescent="0.2">
      <c r="A995" s="228" t="s">
        <v>1211</v>
      </c>
      <c r="B995" s="298">
        <v>202.972856662</v>
      </c>
      <c r="E995" s="280">
        <v>80</v>
      </c>
    </row>
    <row r="996" spans="1:5" x14ac:dyDescent="0.2">
      <c r="A996" s="228" t="s">
        <v>1212</v>
      </c>
      <c r="B996" s="298">
        <v>203.97347542200001</v>
      </c>
      <c r="E996" s="280">
        <v>80</v>
      </c>
    </row>
    <row r="997" spans="1:5" x14ac:dyDescent="0.2">
      <c r="A997" s="228" t="s">
        <v>1213</v>
      </c>
      <c r="B997" s="298">
        <v>204.976055777</v>
      </c>
      <c r="E997" s="280">
        <v>80</v>
      </c>
    </row>
    <row r="998" spans="1:5" x14ac:dyDescent="0.2">
      <c r="A998" s="228" t="s">
        <v>1214</v>
      </c>
      <c r="B998" s="298">
        <v>205.97749906000001</v>
      </c>
      <c r="E998" s="280">
        <v>80</v>
      </c>
    </row>
    <row r="999" spans="1:5" x14ac:dyDescent="0.2">
      <c r="A999" s="228" t="s">
        <v>1215</v>
      </c>
      <c r="B999" s="298">
        <v>206.98253399800001</v>
      </c>
      <c r="E999" s="280">
        <v>80</v>
      </c>
    </row>
    <row r="1000" spans="1:5" x14ac:dyDescent="0.2">
      <c r="A1000" s="287" t="s">
        <v>1216</v>
      </c>
      <c r="B1000" s="299">
        <v>164.93039999999999</v>
      </c>
      <c r="C1000" s="288">
        <v>0</v>
      </c>
      <c r="D1000" s="288">
        <v>0</v>
      </c>
      <c r="E1000" s="288">
        <v>67</v>
      </c>
    </row>
    <row r="1001" spans="1:5" x14ac:dyDescent="0.2">
      <c r="A1001" s="228" t="s">
        <v>1217</v>
      </c>
      <c r="B1001" s="298">
        <v>142.95473999999999</v>
      </c>
      <c r="E1001" s="280">
        <v>67</v>
      </c>
    </row>
    <row r="1002" spans="1:5" x14ac:dyDescent="0.2">
      <c r="A1002" s="228" t="s">
        <v>1218</v>
      </c>
      <c r="B1002" s="298">
        <v>143.95169000000001</v>
      </c>
      <c r="E1002" s="280">
        <v>67</v>
      </c>
    </row>
    <row r="1003" spans="1:5" x14ac:dyDescent="0.2">
      <c r="A1003" s="228" t="s">
        <v>1219</v>
      </c>
      <c r="B1003" s="298">
        <v>144.94674000000001</v>
      </c>
      <c r="E1003" s="280">
        <v>67</v>
      </c>
    </row>
    <row r="1004" spans="1:5" x14ac:dyDescent="0.2">
      <c r="A1004" s="228" t="s">
        <v>1220</v>
      </c>
      <c r="B1004" s="298">
        <v>145.94398000000001</v>
      </c>
      <c r="E1004" s="280">
        <v>67</v>
      </c>
    </row>
    <row r="1005" spans="1:5" x14ac:dyDescent="0.2">
      <c r="A1005" s="228" t="s">
        <v>1221</v>
      </c>
      <c r="B1005" s="298">
        <v>146.93962999999999</v>
      </c>
      <c r="E1005" s="280">
        <v>67</v>
      </c>
    </row>
    <row r="1006" spans="1:5" x14ac:dyDescent="0.2">
      <c r="A1006" s="228" t="s">
        <v>1222</v>
      </c>
      <c r="B1006" s="298">
        <v>147.93718899999999</v>
      </c>
      <c r="E1006" s="280">
        <v>67</v>
      </c>
    </row>
    <row r="1007" spans="1:5" x14ac:dyDescent="0.2">
      <c r="A1007" s="228" t="s">
        <v>1223</v>
      </c>
      <c r="B1007" s="298">
        <v>148.933791281</v>
      </c>
      <c r="E1007" s="280">
        <v>67</v>
      </c>
    </row>
    <row r="1008" spans="1:5" x14ac:dyDescent="0.2">
      <c r="A1008" s="228" t="s">
        <v>1224</v>
      </c>
      <c r="B1008" s="298">
        <v>149.93335300000001</v>
      </c>
      <c r="E1008" s="280">
        <v>67</v>
      </c>
    </row>
    <row r="1009" spans="1:5" x14ac:dyDescent="0.2">
      <c r="A1009" s="228" t="s">
        <v>1225</v>
      </c>
      <c r="B1009" s="298">
        <v>150.93168541599999</v>
      </c>
      <c r="E1009" s="280">
        <v>67</v>
      </c>
    </row>
    <row r="1010" spans="1:5" x14ac:dyDescent="0.2">
      <c r="A1010" s="228" t="s">
        <v>1226</v>
      </c>
      <c r="B1010" s="298">
        <v>151.93166478500001</v>
      </c>
      <c r="E1010" s="280">
        <v>67</v>
      </c>
    </row>
    <row r="1011" spans="1:5" x14ac:dyDescent="0.2">
      <c r="A1011" s="228" t="s">
        <v>1227</v>
      </c>
      <c r="B1011" s="298">
        <v>152.930195269</v>
      </c>
      <c r="E1011" s="280">
        <v>67</v>
      </c>
    </row>
    <row r="1012" spans="1:5" x14ac:dyDescent="0.2">
      <c r="A1012" s="228" t="s">
        <v>1228</v>
      </c>
      <c r="B1012" s="298">
        <v>153.93059708600001</v>
      </c>
      <c r="E1012" s="280">
        <v>67</v>
      </c>
    </row>
    <row r="1013" spans="1:5" x14ac:dyDescent="0.2">
      <c r="A1013" s="228" t="s">
        <v>1229</v>
      </c>
      <c r="B1013" s="298">
        <v>154.92907915000001</v>
      </c>
      <c r="E1013" s="280">
        <v>67</v>
      </c>
    </row>
    <row r="1014" spans="1:5" x14ac:dyDescent="0.2">
      <c r="A1014" s="228" t="s">
        <v>1230</v>
      </c>
      <c r="B1014" s="298">
        <v>155.92971</v>
      </c>
      <c r="E1014" s="280">
        <v>67</v>
      </c>
    </row>
    <row r="1015" spans="1:5" x14ac:dyDescent="0.2">
      <c r="A1015" s="228" t="s">
        <v>1231</v>
      </c>
      <c r="B1015" s="298">
        <v>156.928188124</v>
      </c>
      <c r="E1015" s="280">
        <v>67</v>
      </c>
    </row>
    <row r="1016" spans="1:5" x14ac:dyDescent="0.2">
      <c r="A1016" s="228" t="s">
        <v>1232</v>
      </c>
      <c r="B1016" s="298">
        <v>157.92895284400001</v>
      </c>
      <c r="E1016" s="280">
        <v>67</v>
      </c>
    </row>
    <row r="1017" spans="1:5" x14ac:dyDescent="0.2">
      <c r="A1017" s="228" t="s">
        <v>1233</v>
      </c>
      <c r="B1017" s="298">
        <v>158.927708462</v>
      </c>
      <c r="E1017" s="280">
        <v>67</v>
      </c>
    </row>
    <row r="1018" spans="1:5" x14ac:dyDescent="0.2">
      <c r="A1018" s="228" t="s">
        <v>1234</v>
      </c>
      <c r="B1018" s="298">
        <v>159.92872734900001</v>
      </c>
      <c r="E1018" s="280">
        <v>67</v>
      </c>
    </row>
    <row r="1019" spans="1:5" x14ac:dyDescent="0.2">
      <c r="A1019" s="228" t="s">
        <v>1235</v>
      </c>
      <c r="B1019" s="298">
        <v>160.927851592</v>
      </c>
      <c r="E1019" s="280">
        <v>67</v>
      </c>
    </row>
    <row r="1020" spans="1:5" x14ac:dyDescent="0.2">
      <c r="A1020" s="228" t="s">
        <v>1236</v>
      </c>
      <c r="B1020" s="298">
        <v>161.92909235100001</v>
      </c>
      <c r="E1020" s="280">
        <v>67</v>
      </c>
    </row>
    <row r="1021" spans="1:5" x14ac:dyDescent="0.2">
      <c r="A1021" s="228" t="s">
        <v>1237</v>
      </c>
      <c r="B1021" s="298">
        <v>162.928730358</v>
      </c>
      <c r="E1021" s="280">
        <v>67</v>
      </c>
    </row>
    <row r="1022" spans="1:5" x14ac:dyDescent="0.2">
      <c r="A1022" s="228" t="s">
        <v>1238</v>
      </c>
      <c r="B1022" s="298">
        <v>163.930230507</v>
      </c>
      <c r="E1022" s="280">
        <v>67</v>
      </c>
    </row>
    <row r="1023" spans="1:5" x14ac:dyDescent="0.2">
      <c r="A1023" s="228" t="s">
        <v>1239</v>
      </c>
      <c r="B1023" s="298">
        <v>164.93031909999999</v>
      </c>
      <c r="E1023" s="280">
        <v>67</v>
      </c>
    </row>
    <row r="1024" spans="1:5" x14ac:dyDescent="0.2">
      <c r="A1024" s="228" t="s">
        <v>1240</v>
      </c>
      <c r="B1024" s="298">
        <v>165.932281198</v>
      </c>
      <c r="E1024" s="280">
        <v>67</v>
      </c>
    </row>
    <row r="1025" spans="1:5" x14ac:dyDescent="0.2">
      <c r="A1025" s="228" t="s">
        <v>1241</v>
      </c>
      <c r="B1025" s="298">
        <v>166.93312653300001</v>
      </c>
      <c r="E1025" s="280">
        <v>67</v>
      </c>
    </row>
    <row r="1026" spans="1:5" x14ac:dyDescent="0.2">
      <c r="A1026" s="228" t="s">
        <v>1242</v>
      </c>
      <c r="B1026" s="298">
        <v>167.93549677199999</v>
      </c>
      <c r="E1026" s="280">
        <v>67</v>
      </c>
    </row>
    <row r="1027" spans="1:5" x14ac:dyDescent="0.2">
      <c r="A1027" s="228" t="s">
        <v>1243</v>
      </c>
      <c r="B1027" s="298">
        <v>168.936868643</v>
      </c>
      <c r="E1027" s="280">
        <v>67</v>
      </c>
    </row>
    <row r="1028" spans="1:5" x14ac:dyDescent="0.2">
      <c r="A1028" s="228" t="s">
        <v>1244</v>
      </c>
      <c r="B1028" s="298">
        <v>169.939615288</v>
      </c>
      <c r="E1028" s="280">
        <v>67</v>
      </c>
    </row>
    <row r="1029" spans="1:5" x14ac:dyDescent="0.2">
      <c r="A1029" s="228" t="s">
        <v>1245</v>
      </c>
      <c r="B1029" s="298">
        <v>170.94146155999999</v>
      </c>
      <c r="E1029" s="280">
        <v>67</v>
      </c>
    </row>
    <row r="1030" spans="1:5" x14ac:dyDescent="0.2">
      <c r="A1030" s="287" t="s">
        <v>3173</v>
      </c>
      <c r="B1030" s="299">
        <v>265</v>
      </c>
      <c r="C1030" s="288"/>
      <c r="D1030" s="288"/>
      <c r="E1030" s="288">
        <v>108</v>
      </c>
    </row>
    <row r="1031" spans="1:5" x14ac:dyDescent="0.2">
      <c r="A1031" s="228" t="s">
        <v>1246</v>
      </c>
      <c r="B1031" s="298">
        <v>264.128632611</v>
      </c>
      <c r="E1031" s="280">
        <v>108</v>
      </c>
    </row>
    <row r="1032" spans="1:5" x14ac:dyDescent="0.2">
      <c r="A1032" s="228" t="s">
        <v>1247</v>
      </c>
      <c r="B1032" s="298">
        <v>265.13057800000001</v>
      </c>
      <c r="E1032" s="280">
        <v>108</v>
      </c>
    </row>
    <row r="1033" spans="1:5" x14ac:dyDescent="0.2">
      <c r="A1033" s="228" t="s">
        <v>1248</v>
      </c>
      <c r="B1033" s="298">
        <v>266.13065</v>
      </c>
      <c r="E1033" s="280">
        <v>108</v>
      </c>
    </row>
    <row r="1034" spans="1:5" x14ac:dyDescent="0.2">
      <c r="A1034" s="287" t="s">
        <v>1249</v>
      </c>
      <c r="B1034" s="299">
        <v>126.9045</v>
      </c>
      <c r="C1034" s="288">
        <v>0</v>
      </c>
      <c r="D1034" s="288">
        <v>0</v>
      </c>
      <c r="E1034" s="288">
        <v>53</v>
      </c>
    </row>
    <row r="1035" spans="1:5" x14ac:dyDescent="0.2">
      <c r="A1035" s="228" t="s">
        <v>1250</v>
      </c>
      <c r="B1035" s="298">
        <v>107.94356500000001</v>
      </c>
      <c r="E1035" s="280">
        <v>53</v>
      </c>
    </row>
    <row r="1036" spans="1:5" x14ac:dyDescent="0.2">
      <c r="A1036" s="228" t="s">
        <v>1251</v>
      </c>
      <c r="B1036" s="298">
        <v>108.93818922200001</v>
      </c>
      <c r="E1036" s="280">
        <v>53</v>
      </c>
    </row>
    <row r="1037" spans="1:5" x14ac:dyDescent="0.2">
      <c r="A1037" s="228" t="s">
        <v>1252</v>
      </c>
      <c r="B1037" s="298">
        <v>109.935215</v>
      </c>
      <c r="E1037" s="280">
        <v>53</v>
      </c>
    </row>
    <row r="1038" spans="1:5" x14ac:dyDescent="0.2">
      <c r="A1038" s="228" t="s">
        <v>1253</v>
      </c>
      <c r="B1038" s="298">
        <v>110.930272</v>
      </c>
      <c r="E1038" s="280">
        <v>53</v>
      </c>
    </row>
    <row r="1039" spans="1:5" x14ac:dyDescent="0.2">
      <c r="A1039" s="228" t="s">
        <v>1254</v>
      </c>
      <c r="B1039" s="298">
        <v>111.92797</v>
      </c>
      <c r="E1039" s="280">
        <v>53</v>
      </c>
    </row>
    <row r="1040" spans="1:5" x14ac:dyDescent="0.2">
      <c r="A1040" s="228" t="s">
        <v>1255</v>
      </c>
      <c r="B1040" s="298">
        <v>112.923645247</v>
      </c>
      <c r="E1040" s="280">
        <v>53</v>
      </c>
    </row>
    <row r="1041" spans="1:5" x14ac:dyDescent="0.2">
      <c r="A1041" s="228" t="s">
        <v>1256</v>
      </c>
      <c r="B1041" s="298">
        <v>113.92185000000001</v>
      </c>
      <c r="E1041" s="280">
        <v>53</v>
      </c>
    </row>
    <row r="1042" spans="1:5" x14ac:dyDescent="0.2">
      <c r="A1042" s="228" t="s">
        <v>1257</v>
      </c>
      <c r="B1042" s="298">
        <v>114.91797800000001</v>
      </c>
      <c r="E1042" s="280">
        <v>53</v>
      </c>
    </row>
    <row r="1043" spans="1:5" x14ac:dyDescent="0.2">
      <c r="A1043" s="228" t="s">
        <v>1258</v>
      </c>
      <c r="B1043" s="298">
        <v>115.91672407199999</v>
      </c>
      <c r="E1043" s="280">
        <v>53</v>
      </c>
    </row>
    <row r="1044" spans="1:5" x14ac:dyDescent="0.2">
      <c r="A1044" s="228" t="s">
        <v>1259</v>
      </c>
      <c r="B1044" s="298">
        <v>116.913631611</v>
      </c>
      <c r="E1044" s="280">
        <v>53</v>
      </c>
    </row>
    <row r="1045" spans="1:5" x14ac:dyDescent="0.2">
      <c r="A1045" s="228" t="s">
        <v>1260</v>
      </c>
      <c r="B1045" s="298">
        <v>117.91339422599999</v>
      </c>
      <c r="E1045" s="280">
        <v>53</v>
      </c>
    </row>
    <row r="1046" spans="1:5" x14ac:dyDescent="0.2">
      <c r="A1046" s="228" t="s">
        <v>1261</v>
      </c>
      <c r="B1046" s="298">
        <v>118.910181653</v>
      </c>
      <c r="E1046" s="280">
        <v>53</v>
      </c>
    </row>
    <row r="1047" spans="1:5" x14ac:dyDescent="0.2">
      <c r="A1047" s="228" t="s">
        <v>1262</v>
      </c>
      <c r="B1047" s="298">
        <v>119.910054307</v>
      </c>
      <c r="E1047" s="280">
        <v>53</v>
      </c>
    </row>
    <row r="1048" spans="1:5" x14ac:dyDescent="0.2">
      <c r="A1048" s="228" t="s">
        <v>1263</v>
      </c>
      <c r="B1048" s="298">
        <v>120.90737251199999</v>
      </c>
      <c r="E1048" s="280">
        <v>53</v>
      </c>
    </row>
    <row r="1049" spans="1:5" x14ac:dyDescent="0.2">
      <c r="A1049" s="228" t="s">
        <v>1264</v>
      </c>
      <c r="B1049" s="298">
        <v>121.907601219</v>
      </c>
      <c r="E1049" s="280">
        <v>53</v>
      </c>
    </row>
    <row r="1050" spans="1:5" x14ac:dyDescent="0.2">
      <c r="A1050" s="228" t="s">
        <v>1265</v>
      </c>
      <c r="B1050" s="298">
        <v>122.90560457700001</v>
      </c>
      <c r="E1050" s="280">
        <v>53</v>
      </c>
    </row>
    <row r="1051" spans="1:5" x14ac:dyDescent="0.2">
      <c r="A1051" s="228" t="s">
        <v>1266</v>
      </c>
      <c r="B1051" s="298">
        <v>123.90621071</v>
      </c>
      <c r="C1051" s="280">
        <v>4.18</v>
      </c>
      <c r="D1051" s="280" t="s">
        <v>192</v>
      </c>
      <c r="E1051" s="280">
        <v>53</v>
      </c>
    </row>
    <row r="1052" spans="1:5" x14ac:dyDescent="0.2">
      <c r="A1052" s="228" t="s">
        <v>1267</v>
      </c>
      <c r="B1052" s="298">
        <v>124.904623898</v>
      </c>
      <c r="C1052" s="280">
        <v>60.1</v>
      </c>
      <c r="D1052" s="280" t="s">
        <v>192</v>
      </c>
      <c r="E1052" s="280">
        <v>53</v>
      </c>
    </row>
    <row r="1053" spans="1:5" x14ac:dyDescent="0.2">
      <c r="A1053" s="228" t="s">
        <v>1268</v>
      </c>
      <c r="B1053" s="298">
        <v>125.905618706</v>
      </c>
      <c r="C1053" s="280">
        <v>13</v>
      </c>
      <c r="D1053" s="280" t="s">
        <v>192</v>
      </c>
      <c r="E1053" s="280">
        <v>53</v>
      </c>
    </row>
    <row r="1054" spans="1:5" x14ac:dyDescent="0.2">
      <c r="A1054" s="228" t="s">
        <v>1269</v>
      </c>
      <c r="B1054" s="298">
        <v>126.904467711</v>
      </c>
      <c r="C1054" s="280">
        <v>0</v>
      </c>
      <c r="E1054" s="280">
        <v>53</v>
      </c>
    </row>
    <row r="1055" spans="1:5" x14ac:dyDescent="0.2">
      <c r="A1055" s="228" t="s">
        <v>1270</v>
      </c>
      <c r="B1055" s="298">
        <v>127.905804546</v>
      </c>
      <c r="C1055" s="280">
        <v>25</v>
      </c>
      <c r="D1055" s="280" t="s">
        <v>218</v>
      </c>
      <c r="E1055" s="280">
        <v>53</v>
      </c>
    </row>
    <row r="1056" spans="1:5" x14ac:dyDescent="0.2">
      <c r="A1056" s="228" t="s">
        <v>1271</v>
      </c>
      <c r="B1056" s="298">
        <v>128.904987737</v>
      </c>
      <c r="C1056" s="282">
        <v>15700000</v>
      </c>
      <c r="D1056" s="280" t="s">
        <v>249</v>
      </c>
      <c r="E1056" s="280">
        <v>53</v>
      </c>
    </row>
    <row r="1057" spans="1:5" x14ac:dyDescent="0.2">
      <c r="A1057" s="228" t="s">
        <v>1272</v>
      </c>
      <c r="B1057" s="298">
        <v>129.90667426900001</v>
      </c>
      <c r="C1057" s="280">
        <v>12.36</v>
      </c>
      <c r="D1057" s="280" t="s">
        <v>199</v>
      </c>
      <c r="E1057" s="280">
        <v>53</v>
      </c>
    </row>
    <row r="1058" spans="1:5" x14ac:dyDescent="0.2">
      <c r="A1058" s="228" t="s">
        <v>1273</v>
      </c>
      <c r="B1058" s="298">
        <v>130.90612508500001</v>
      </c>
      <c r="C1058" s="280">
        <v>8.0399999999999991</v>
      </c>
      <c r="D1058" s="280" t="s">
        <v>192</v>
      </c>
      <c r="E1058" s="280">
        <v>53</v>
      </c>
    </row>
    <row r="1059" spans="1:5" x14ac:dyDescent="0.2">
      <c r="A1059" s="228" t="s">
        <v>1274</v>
      </c>
      <c r="B1059" s="298">
        <v>131.90799466799999</v>
      </c>
      <c r="C1059" s="280">
        <v>2.2799999999999998</v>
      </c>
      <c r="D1059" s="280" t="s">
        <v>199</v>
      </c>
      <c r="E1059" s="280">
        <v>53</v>
      </c>
    </row>
    <row r="1060" spans="1:5" x14ac:dyDescent="0.2">
      <c r="A1060" s="228" t="s">
        <v>1275</v>
      </c>
      <c r="B1060" s="298">
        <v>132.90780675400001</v>
      </c>
      <c r="E1060" s="280">
        <v>53</v>
      </c>
    </row>
    <row r="1061" spans="1:5" x14ac:dyDescent="0.2">
      <c r="A1061" s="228" t="s">
        <v>1276</v>
      </c>
      <c r="B1061" s="298">
        <v>133.90987117500001</v>
      </c>
      <c r="E1061" s="280">
        <v>53</v>
      </c>
    </row>
    <row r="1062" spans="1:5" x14ac:dyDescent="0.2">
      <c r="A1062" s="228" t="s">
        <v>1277</v>
      </c>
      <c r="B1062" s="298">
        <v>134.91005065799999</v>
      </c>
      <c r="E1062" s="280">
        <v>53</v>
      </c>
    </row>
    <row r="1063" spans="1:5" x14ac:dyDescent="0.2">
      <c r="A1063" s="228" t="s">
        <v>1278</v>
      </c>
      <c r="B1063" s="298">
        <v>135.91465547600001</v>
      </c>
      <c r="E1063" s="280">
        <v>53</v>
      </c>
    </row>
    <row r="1064" spans="1:5" x14ac:dyDescent="0.2">
      <c r="A1064" s="228" t="s">
        <v>1279</v>
      </c>
      <c r="B1064" s="298">
        <v>136.91787303300001</v>
      </c>
      <c r="E1064" s="280">
        <v>53</v>
      </c>
    </row>
    <row r="1065" spans="1:5" x14ac:dyDescent="0.2">
      <c r="A1065" s="228" t="s">
        <v>1280</v>
      </c>
      <c r="B1065" s="298">
        <v>137.922383645</v>
      </c>
      <c r="E1065" s="280">
        <v>53</v>
      </c>
    </row>
    <row r="1066" spans="1:5" x14ac:dyDescent="0.2">
      <c r="A1066" s="228" t="s">
        <v>1281</v>
      </c>
      <c r="B1066" s="298">
        <v>138.926094414</v>
      </c>
      <c r="E1066" s="280">
        <v>53</v>
      </c>
    </row>
    <row r="1067" spans="1:5" x14ac:dyDescent="0.2">
      <c r="A1067" s="228" t="s">
        <v>1282</v>
      </c>
      <c r="B1067" s="298">
        <v>139.93104</v>
      </c>
      <c r="E1067" s="280">
        <v>53</v>
      </c>
    </row>
    <row r="1068" spans="1:5" x14ac:dyDescent="0.2">
      <c r="A1068" s="228" t="s">
        <v>1283</v>
      </c>
      <c r="B1068" s="298">
        <v>140.93507</v>
      </c>
      <c r="E1068" s="280">
        <v>53</v>
      </c>
    </row>
    <row r="1069" spans="1:5" x14ac:dyDescent="0.2">
      <c r="A1069" s="287" t="s">
        <v>1284</v>
      </c>
      <c r="B1069" s="299">
        <v>114.82</v>
      </c>
      <c r="C1069" s="288">
        <v>0</v>
      </c>
      <c r="D1069" s="288">
        <v>0</v>
      </c>
      <c r="E1069" s="288">
        <v>49</v>
      </c>
    </row>
    <row r="1070" spans="1:5" x14ac:dyDescent="0.2">
      <c r="A1070" s="228" t="s">
        <v>1285</v>
      </c>
      <c r="B1070" s="298">
        <v>99.931579999999997</v>
      </c>
      <c r="E1070" s="280">
        <v>49</v>
      </c>
    </row>
    <row r="1071" spans="1:5" x14ac:dyDescent="0.2">
      <c r="A1071" s="228" t="s">
        <v>1286</v>
      </c>
      <c r="B1071" s="298">
        <v>100.92655999999999</v>
      </c>
      <c r="E1071" s="280">
        <v>49</v>
      </c>
    </row>
    <row r="1072" spans="1:5" x14ac:dyDescent="0.2">
      <c r="A1072" s="228" t="s">
        <v>1287</v>
      </c>
      <c r="B1072" s="298">
        <v>101.92429806</v>
      </c>
      <c r="E1072" s="280">
        <v>49</v>
      </c>
    </row>
    <row r="1073" spans="1:5" x14ac:dyDescent="0.2">
      <c r="A1073" s="228" t="s">
        <v>1288</v>
      </c>
      <c r="B1073" s="298">
        <v>102.919913713</v>
      </c>
      <c r="C1073" s="280">
        <v>1.1000000000000001</v>
      </c>
      <c r="D1073" s="280" t="s">
        <v>218</v>
      </c>
      <c r="E1073" s="280">
        <v>49</v>
      </c>
    </row>
    <row r="1074" spans="1:5" x14ac:dyDescent="0.2">
      <c r="A1074" s="228" t="s">
        <v>1289</v>
      </c>
      <c r="B1074" s="298">
        <v>103.91833839900001</v>
      </c>
      <c r="C1074" s="280">
        <v>1.84</v>
      </c>
      <c r="D1074" s="280" t="s">
        <v>218</v>
      </c>
      <c r="E1074" s="280">
        <v>49</v>
      </c>
    </row>
    <row r="1075" spans="1:5" x14ac:dyDescent="0.2">
      <c r="A1075" s="228" t="s">
        <v>1290</v>
      </c>
      <c r="B1075" s="298">
        <v>104.91467362900001</v>
      </c>
      <c r="C1075" s="280">
        <v>5.0999999999999996</v>
      </c>
      <c r="D1075" s="280" t="s">
        <v>218</v>
      </c>
      <c r="E1075" s="280">
        <v>49</v>
      </c>
    </row>
    <row r="1076" spans="1:5" x14ac:dyDescent="0.2">
      <c r="A1076" s="228" t="s">
        <v>1291</v>
      </c>
      <c r="B1076" s="298">
        <v>105.913458929</v>
      </c>
      <c r="C1076" s="280">
        <v>6.2</v>
      </c>
      <c r="D1076" s="280" t="s">
        <v>218</v>
      </c>
      <c r="E1076" s="280">
        <v>49</v>
      </c>
    </row>
    <row r="1077" spans="1:5" x14ac:dyDescent="0.2">
      <c r="A1077" s="228" t="s">
        <v>1292</v>
      </c>
      <c r="B1077" s="298">
        <v>106.91029230700001</v>
      </c>
      <c r="C1077" s="280">
        <v>32.4</v>
      </c>
      <c r="D1077" s="280" t="s">
        <v>218</v>
      </c>
      <c r="E1077" s="280">
        <v>49</v>
      </c>
    </row>
    <row r="1078" spans="1:5" x14ac:dyDescent="0.2">
      <c r="A1078" s="228" t="s">
        <v>1293</v>
      </c>
      <c r="B1078" s="298">
        <v>107.909709214</v>
      </c>
      <c r="C1078" s="280">
        <v>57</v>
      </c>
      <c r="D1078" s="280" t="s">
        <v>218</v>
      </c>
      <c r="E1078" s="280">
        <v>49</v>
      </c>
    </row>
    <row r="1079" spans="1:5" x14ac:dyDescent="0.2">
      <c r="A1079" s="228" t="s">
        <v>1294</v>
      </c>
      <c r="B1079" s="298">
        <v>108.9071543</v>
      </c>
      <c r="C1079" s="280">
        <v>4.2</v>
      </c>
      <c r="D1079" s="280" t="s">
        <v>199</v>
      </c>
      <c r="E1079" s="280">
        <v>49</v>
      </c>
    </row>
    <row r="1080" spans="1:5" x14ac:dyDescent="0.2">
      <c r="A1080" s="228" t="s">
        <v>1295</v>
      </c>
      <c r="B1080" s="298">
        <v>109.90716910800001</v>
      </c>
      <c r="C1080" s="280">
        <v>4.9000000000000004</v>
      </c>
      <c r="D1080" s="280" t="s">
        <v>199</v>
      </c>
      <c r="E1080" s="280">
        <v>49</v>
      </c>
    </row>
    <row r="1081" spans="1:5" x14ac:dyDescent="0.2">
      <c r="A1081" s="228" t="s">
        <v>1296</v>
      </c>
      <c r="B1081" s="298">
        <v>110.905111694</v>
      </c>
      <c r="C1081" s="280">
        <v>2.8048999999999999</v>
      </c>
      <c r="D1081" s="280" t="s">
        <v>192</v>
      </c>
      <c r="E1081" s="280">
        <v>49</v>
      </c>
    </row>
    <row r="1082" spans="1:5" x14ac:dyDescent="0.2">
      <c r="A1082" s="228" t="s">
        <v>1297</v>
      </c>
      <c r="B1082" s="298">
        <v>111.905534055</v>
      </c>
      <c r="C1082" s="280">
        <v>20.8</v>
      </c>
      <c r="D1082" s="280" t="s">
        <v>218</v>
      </c>
      <c r="E1082" s="280">
        <v>49</v>
      </c>
    </row>
    <row r="1083" spans="1:5" x14ac:dyDescent="0.2">
      <c r="A1083" s="228" t="s">
        <v>1298</v>
      </c>
      <c r="B1083" s="298">
        <v>112.904062313</v>
      </c>
      <c r="C1083" s="280">
        <v>1.6579999999999999</v>
      </c>
      <c r="D1083" s="280" t="s">
        <v>199</v>
      </c>
      <c r="E1083" s="280">
        <v>49</v>
      </c>
    </row>
    <row r="1084" spans="1:5" x14ac:dyDescent="0.2">
      <c r="A1084" s="228" t="s">
        <v>1299</v>
      </c>
      <c r="B1084" s="298">
        <v>113.90491788999999</v>
      </c>
      <c r="C1084" s="280">
        <v>49.51</v>
      </c>
      <c r="D1084" s="280" t="s">
        <v>192</v>
      </c>
      <c r="E1084" s="280">
        <v>49</v>
      </c>
    </row>
    <row r="1085" spans="1:5" x14ac:dyDescent="0.2">
      <c r="A1085" s="228" t="s">
        <v>1300</v>
      </c>
      <c r="B1085" s="298">
        <v>114.90387901</v>
      </c>
      <c r="C1085" s="282">
        <v>440000000000000</v>
      </c>
      <c r="D1085" s="280" t="s">
        <v>249</v>
      </c>
      <c r="E1085" s="280">
        <v>49</v>
      </c>
    </row>
    <row r="1086" spans="1:5" x14ac:dyDescent="0.2">
      <c r="A1086" s="228" t="s">
        <v>1301</v>
      </c>
      <c r="B1086" s="298">
        <v>115.905260677</v>
      </c>
      <c r="C1086" s="280">
        <v>14.1</v>
      </c>
      <c r="D1086" s="280" t="s">
        <v>168</v>
      </c>
      <c r="E1086" s="280">
        <v>49</v>
      </c>
    </row>
    <row r="1087" spans="1:5" x14ac:dyDescent="0.2">
      <c r="A1087" s="228" t="s">
        <v>1302</v>
      </c>
      <c r="B1087" s="298">
        <v>116.90451741</v>
      </c>
      <c r="E1087" s="280">
        <v>49</v>
      </c>
    </row>
    <row r="1088" spans="1:5" x14ac:dyDescent="0.2">
      <c r="A1088" s="228" t="s">
        <v>1303</v>
      </c>
      <c r="B1088" s="298">
        <v>117.906356479</v>
      </c>
      <c r="E1088" s="280">
        <v>49</v>
      </c>
    </row>
    <row r="1089" spans="1:5" x14ac:dyDescent="0.2">
      <c r="A1089" s="228" t="s">
        <v>1304</v>
      </c>
      <c r="B1089" s="298">
        <v>118.905848436</v>
      </c>
      <c r="E1089" s="280">
        <v>49</v>
      </c>
    </row>
    <row r="1090" spans="1:5" x14ac:dyDescent="0.2">
      <c r="A1090" s="228" t="s">
        <v>1305</v>
      </c>
      <c r="B1090" s="298">
        <v>119.907963471</v>
      </c>
      <c r="E1090" s="280">
        <v>49</v>
      </c>
    </row>
    <row r="1091" spans="1:5" x14ac:dyDescent="0.2">
      <c r="A1091" s="228" t="s">
        <v>1306</v>
      </c>
      <c r="B1091" s="298">
        <v>120.907849857</v>
      </c>
      <c r="E1091" s="280">
        <v>49</v>
      </c>
    </row>
    <row r="1092" spans="1:5" x14ac:dyDescent="0.2">
      <c r="A1092" s="228" t="s">
        <v>1307</v>
      </c>
      <c r="B1092" s="298">
        <v>121.910278113</v>
      </c>
      <c r="E1092" s="280">
        <v>49</v>
      </c>
    </row>
    <row r="1093" spans="1:5" x14ac:dyDescent="0.2">
      <c r="A1093" s="228" t="s">
        <v>1308</v>
      </c>
      <c r="B1093" s="298">
        <v>122.910436757</v>
      </c>
      <c r="E1093" s="280">
        <v>49</v>
      </c>
    </row>
    <row r="1094" spans="1:5" x14ac:dyDescent="0.2">
      <c r="A1094" s="228" t="s">
        <v>1309</v>
      </c>
      <c r="B1094" s="298">
        <v>123.91317578899999</v>
      </c>
      <c r="E1094" s="280">
        <v>49</v>
      </c>
    </row>
    <row r="1095" spans="1:5" x14ac:dyDescent="0.2">
      <c r="A1095" s="228" t="s">
        <v>1310</v>
      </c>
      <c r="B1095" s="298">
        <v>124.913601298</v>
      </c>
      <c r="E1095" s="280">
        <v>49</v>
      </c>
    </row>
    <row r="1096" spans="1:5" x14ac:dyDescent="0.2">
      <c r="A1096" s="228" t="s">
        <v>1311</v>
      </c>
      <c r="B1096" s="298">
        <v>125.916464405</v>
      </c>
      <c r="E1096" s="280">
        <v>49</v>
      </c>
    </row>
    <row r="1097" spans="1:5" x14ac:dyDescent="0.2">
      <c r="A1097" s="228" t="s">
        <v>1312</v>
      </c>
      <c r="B1097" s="298">
        <v>126.91734343</v>
      </c>
      <c r="E1097" s="280">
        <v>49</v>
      </c>
    </row>
    <row r="1098" spans="1:5" x14ac:dyDescent="0.2">
      <c r="A1098" s="228" t="s">
        <v>1313</v>
      </c>
      <c r="B1098" s="298">
        <v>127.920170787</v>
      </c>
      <c r="E1098" s="280">
        <v>49</v>
      </c>
    </row>
    <row r="1099" spans="1:5" x14ac:dyDescent="0.2">
      <c r="A1099" s="228" t="s">
        <v>1314</v>
      </c>
      <c r="B1099" s="298">
        <v>128.921658216</v>
      </c>
      <c r="E1099" s="280">
        <v>49</v>
      </c>
    </row>
    <row r="1100" spans="1:5" x14ac:dyDescent="0.2">
      <c r="A1100" s="228" t="s">
        <v>1315</v>
      </c>
      <c r="B1100" s="298">
        <v>129.924858981</v>
      </c>
      <c r="E1100" s="280">
        <v>49</v>
      </c>
    </row>
    <row r="1101" spans="1:5" x14ac:dyDescent="0.2">
      <c r="A1101" s="228" t="s">
        <v>1316</v>
      </c>
      <c r="B1101" s="298">
        <v>130.926785188</v>
      </c>
      <c r="E1101" s="280">
        <v>49</v>
      </c>
    </row>
    <row r="1102" spans="1:5" x14ac:dyDescent="0.2">
      <c r="A1102" s="228" t="s">
        <v>1317</v>
      </c>
      <c r="B1102" s="298">
        <v>131.93234480199999</v>
      </c>
      <c r="E1102" s="280">
        <v>49</v>
      </c>
    </row>
    <row r="1103" spans="1:5" x14ac:dyDescent="0.2">
      <c r="A1103" s="228" t="s">
        <v>1318</v>
      </c>
      <c r="B1103" s="298">
        <v>98.934610000000006</v>
      </c>
      <c r="E1103" s="280">
        <v>49</v>
      </c>
    </row>
    <row r="1104" spans="1:5" x14ac:dyDescent="0.2">
      <c r="A1104" s="287" t="s">
        <v>1319</v>
      </c>
      <c r="B1104" s="299">
        <v>192.22</v>
      </c>
      <c r="C1104" s="288">
        <v>0</v>
      </c>
      <c r="D1104" s="288">
        <v>0</v>
      </c>
      <c r="E1104" s="288">
        <v>77</v>
      </c>
    </row>
    <row r="1105" spans="1:5" x14ac:dyDescent="0.2">
      <c r="A1105" s="228" t="s">
        <v>1320</v>
      </c>
      <c r="B1105" s="298">
        <v>165.98550599999999</v>
      </c>
      <c r="E1105" s="280">
        <v>77</v>
      </c>
    </row>
    <row r="1106" spans="1:5" x14ac:dyDescent="0.2">
      <c r="A1106" s="228" t="s">
        <v>1321</v>
      </c>
      <c r="B1106" s="298">
        <v>166.98168799999999</v>
      </c>
      <c r="E1106" s="280">
        <v>77</v>
      </c>
    </row>
    <row r="1107" spans="1:5" x14ac:dyDescent="0.2">
      <c r="A1107" s="228" t="s">
        <v>1322</v>
      </c>
      <c r="B1107" s="298">
        <v>167.97991200000001</v>
      </c>
      <c r="E1107" s="280">
        <v>77</v>
      </c>
    </row>
    <row r="1108" spans="1:5" x14ac:dyDescent="0.2">
      <c r="A1108" s="228" t="s">
        <v>1323</v>
      </c>
      <c r="B1108" s="298">
        <v>168.97639182</v>
      </c>
      <c r="E1108" s="280">
        <v>77</v>
      </c>
    </row>
    <row r="1109" spans="1:5" x14ac:dyDescent="0.2">
      <c r="A1109" s="228" t="s">
        <v>1324</v>
      </c>
      <c r="B1109" s="298">
        <v>169.97503399999999</v>
      </c>
      <c r="E1109" s="280">
        <v>77</v>
      </c>
    </row>
    <row r="1110" spans="1:5" x14ac:dyDescent="0.2">
      <c r="A1110" s="228" t="s">
        <v>1325</v>
      </c>
      <c r="B1110" s="298">
        <v>170.971811</v>
      </c>
      <c r="E1110" s="280">
        <v>77</v>
      </c>
    </row>
    <row r="1111" spans="1:5" x14ac:dyDescent="0.2">
      <c r="A1111" s="228" t="s">
        <v>1326</v>
      </c>
      <c r="B1111" s="298">
        <v>171.970643</v>
      </c>
      <c r="E1111" s="280">
        <v>77</v>
      </c>
    </row>
    <row r="1112" spans="1:5" x14ac:dyDescent="0.2">
      <c r="A1112" s="228" t="s">
        <v>1327</v>
      </c>
      <c r="B1112" s="298">
        <v>172.96770699999999</v>
      </c>
      <c r="E1112" s="280">
        <v>77</v>
      </c>
    </row>
    <row r="1113" spans="1:5" x14ac:dyDescent="0.2">
      <c r="A1113" s="228" t="s">
        <v>1328</v>
      </c>
      <c r="B1113" s="298">
        <v>173.966804</v>
      </c>
      <c r="E1113" s="280">
        <v>77</v>
      </c>
    </row>
    <row r="1114" spans="1:5" x14ac:dyDescent="0.2">
      <c r="A1114" s="228" t="s">
        <v>1329</v>
      </c>
      <c r="B1114" s="298">
        <v>174.96409299999999</v>
      </c>
      <c r="E1114" s="280">
        <v>77</v>
      </c>
    </row>
    <row r="1115" spans="1:5" x14ac:dyDescent="0.2">
      <c r="A1115" s="228" t="s">
        <v>1330</v>
      </c>
      <c r="B1115" s="298">
        <v>175.963514</v>
      </c>
      <c r="E1115" s="280">
        <v>77</v>
      </c>
    </row>
    <row r="1116" spans="1:5" x14ac:dyDescent="0.2">
      <c r="A1116" s="228" t="s">
        <v>1331</v>
      </c>
      <c r="B1116" s="298">
        <v>176.96117000000001</v>
      </c>
      <c r="E1116" s="280">
        <v>77</v>
      </c>
    </row>
    <row r="1117" spans="1:5" x14ac:dyDescent="0.2">
      <c r="A1117" s="228" t="s">
        <v>1332</v>
      </c>
      <c r="B1117" s="298">
        <v>177.961084</v>
      </c>
      <c r="E1117" s="280">
        <v>77</v>
      </c>
    </row>
    <row r="1118" spans="1:5" x14ac:dyDescent="0.2">
      <c r="A1118" s="228" t="s">
        <v>1333</v>
      </c>
      <c r="B1118" s="298">
        <v>178.95914999999999</v>
      </c>
      <c r="E1118" s="280">
        <v>77</v>
      </c>
    </row>
    <row r="1119" spans="1:5" x14ac:dyDescent="0.2">
      <c r="A1119" s="228" t="s">
        <v>1334</v>
      </c>
      <c r="B1119" s="298">
        <v>179.95925</v>
      </c>
      <c r="E1119" s="280">
        <v>77</v>
      </c>
    </row>
    <row r="1120" spans="1:5" x14ac:dyDescent="0.2">
      <c r="A1120" s="228" t="s">
        <v>1335</v>
      </c>
      <c r="B1120" s="298">
        <v>180.95757800000001</v>
      </c>
      <c r="E1120" s="280">
        <v>77</v>
      </c>
    </row>
    <row r="1121" spans="1:5" x14ac:dyDescent="0.2">
      <c r="A1121" s="228" t="s">
        <v>1336</v>
      </c>
      <c r="B1121" s="298">
        <v>181.95820799099999</v>
      </c>
      <c r="E1121" s="280">
        <v>77</v>
      </c>
    </row>
    <row r="1122" spans="1:5" x14ac:dyDescent="0.2">
      <c r="A1122" s="228" t="s">
        <v>1337</v>
      </c>
      <c r="B1122" s="298">
        <v>182.95681400000001</v>
      </c>
      <c r="E1122" s="280">
        <v>77</v>
      </c>
    </row>
    <row r="1123" spans="1:5" x14ac:dyDescent="0.2">
      <c r="A1123" s="228" t="s">
        <v>1338</v>
      </c>
      <c r="B1123" s="298">
        <v>183.95738806700001</v>
      </c>
      <c r="E1123" s="280">
        <v>77</v>
      </c>
    </row>
    <row r="1124" spans="1:5" x14ac:dyDescent="0.2">
      <c r="A1124" s="228" t="s">
        <v>1339</v>
      </c>
      <c r="B1124" s="298">
        <v>184.95659000000001</v>
      </c>
      <c r="E1124" s="280">
        <v>77</v>
      </c>
    </row>
    <row r="1125" spans="1:5" x14ac:dyDescent="0.2">
      <c r="A1125" s="228" t="s">
        <v>1340</v>
      </c>
      <c r="B1125" s="298">
        <v>185.957950829</v>
      </c>
      <c r="E1125" s="280">
        <v>77</v>
      </c>
    </row>
    <row r="1126" spans="1:5" x14ac:dyDescent="0.2">
      <c r="A1126" s="228" t="s">
        <v>1341</v>
      </c>
      <c r="B1126" s="298">
        <v>186.95736050900001</v>
      </c>
      <c r="E1126" s="280">
        <v>77</v>
      </c>
    </row>
    <row r="1127" spans="1:5" x14ac:dyDescent="0.2">
      <c r="A1127" s="228" t="s">
        <v>1342</v>
      </c>
      <c r="B1127" s="298">
        <v>187.958851651</v>
      </c>
      <c r="C1127" s="280">
        <v>1.72</v>
      </c>
      <c r="D1127" s="280" t="s">
        <v>192</v>
      </c>
      <c r="E1127" s="280">
        <v>77</v>
      </c>
    </row>
    <row r="1128" spans="1:5" x14ac:dyDescent="0.2">
      <c r="A1128" s="228" t="s">
        <v>1343</v>
      </c>
      <c r="B1128" s="298">
        <v>188.958716057</v>
      </c>
      <c r="C1128" s="280">
        <v>13.2</v>
      </c>
      <c r="D1128" s="280" t="s">
        <v>192</v>
      </c>
      <c r="E1128" s="280">
        <v>77</v>
      </c>
    </row>
    <row r="1129" spans="1:5" x14ac:dyDescent="0.2">
      <c r="A1129" s="228" t="s">
        <v>1344</v>
      </c>
      <c r="B1129" s="298">
        <v>189.96059192800001</v>
      </c>
      <c r="C1129" s="280">
        <v>11.8</v>
      </c>
      <c r="D1129" s="280" t="s">
        <v>192</v>
      </c>
      <c r="E1129" s="280">
        <v>77</v>
      </c>
    </row>
    <row r="1130" spans="1:5" x14ac:dyDescent="0.2">
      <c r="A1130" s="228" t="s">
        <v>1345</v>
      </c>
      <c r="B1130" s="298">
        <v>190.960590758</v>
      </c>
      <c r="C1130" s="280">
        <v>6</v>
      </c>
      <c r="D1130" s="280" t="s">
        <v>168</v>
      </c>
      <c r="E1130" s="280">
        <v>77</v>
      </c>
    </row>
    <row r="1131" spans="1:5" x14ac:dyDescent="0.2">
      <c r="A1131" s="228" t="s">
        <v>1346</v>
      </c>
      <c r="B1131" s="298">
        <v>191.962601764</v>
      </c>
      <c r="C1131" s="280">
        <v>73.83</v>
      </c>
      <c r="D1131" s="280" t="s">
        <v>192</v>
      </c>
      <c r="E1131" s="280">
        <v>77</v>
      </c>
    </row>
    <row r="1132" spans="1:5" x14ac:dyDescent="0.2">
      <c r="A1132" s="228" t="s">
        <v>1347</v>
      </c>
      <c r="B1132" s="298">
        <v>192.96292326400001</v>
      </c>
      <c r="C1132" s="280">
        <v>10.53</v>
      </c>
      <c r="D1132" s="280" t="s">
        <v>192</v>
      </c>
      <c r="E1132" s="280">
        <v>77</v>
      </c>
    </row>
    <row r="1133" spans="1:5" x14ac:dyDescent="0.2">
      <c r="A1133" s="228" t="s">
        <v>1348</v>
      </c>
      <c r="B1133" s="298">
        <v>193.96507516899999</v>
      </c>
      <c r="C1133" s="280">
        <v>170</v>
      </c>
      <c r="D1133" s="280" t="s">
        <v>192</v>
      </c>
      <c r="E1133" s="280">
        <v>77</v>
      </c>
    </row>
    <row r="1134" spans="1:5" x14ac:dyDescent="0.2">
      <c r="A1134" s="228" t="s">
        <v>1349</v>
      </c>
      <c r="B1134" s="298">
        <v>194.96597636000001</v>
      </c>
      <c r="E1134" s="280">
        <v>77</v>
      </c>
    </row>
    <row r="1135" spans="1:5" x14ac:dyDescent="0.2">
      <c r="A1135" s="228" t="s">
        <v>1350</v>
      </c>
      <c r="B1135" s="298">
        <v>195.968379344</v>
      </c>
      <c r="E1135" s="280">
        <v>77</v>
      </c>
    </row>
    <row r="1136" spans="1:5" x14ac:dyDescent="0.2">
      <c r="A1136" s="228" t="s">
        <v>1351</v>
      </c>
      <c r="B1136" s="298">
        <v>196.96963593000001</v>
      </c>
      <c r="E1136" s="280">
        <v>77</v>
      </c>
    </row>
    <row r="1137" spans="1:5" x14ac:dyDescent="0.2">
      <c r="A1137" s="228" t="s">
        <v>1352</v>
      </c>
      <c r="B1137" s="298">
        <v>197.97228000000001</v>
      </c>
      <c r="E1137" s="280">
        <v>77</v>
      </c>
    </row>
    <row r="1138" spans="1:5" x14ac:dyDescent="0.2">
      <c r="A1138" s="287" t="s">
        <v>1353</v>
      </c>
      <c r="B1138" s="299">
        <v>39.098300000000002</v>
      </c>
      <c r="C1138" s="288">
        <v>0</v>
      </c>
      <c r="D1138" s="288">
        <v>0</v>
      </c>
      <c r="E1138" s="288">
        <v>19</v>
      </c>
    </row>
    <row r="1139" spans="1:5" x14ac:dyDescent="0.2">
      <c r="A1139" s="228" t="s">
        <v>1354</v>
      </c>
      <c r="B1139" s="298">
        <v>32.021920000000001</v>
      </c>
      <c r="E1139" s="280">
        <v>19</v>
      </c>
    </row>
    <row r="1140" spans="1:5" x14ac:dyDescent="0.2">
      <c r="A1140" s="228" t="s">
        <v>1355</v>
      </c>
      <c r="B1140" s="298">
        <v>33.007260000000002</v>
      </c>
      <c r="E1140" s="280">
        <v>19</v>
      </c>
    </row>
    <row r="1141" spans="1:5" x14ac:dyDescent="0.2">
      <c r="A1141" s="228" t="s">
        <v>1356</v>
      </c>
      <c r="B1141" s="298">
        <v>33.99841</v>
      </c>
      <c r="E1141" s="280">
        <v>19</v>
      </c>
    </row>
    <row r="1142" spans="1:5" x14ac:dyDescent="0.2">
      <c r="A1142" s="228" t="s">
        <v>1357</v>
      </c>
      <c r="B1142" s="298">
        <v>34.988011614000001</v>
      </c>
      <c r="E1142" s="280">
        <v>19</v>
      </c>
    </row>
    <row r="1143" spans="1:5" x14ac:dyDescent="0.2">
      <c r="A1143" s="228" t="s">
        <v>1358</v>
      </c>
      <c r="B1143" s="298">
        <v>35.981293381999997</v>
      </c>
      <c r="E1143" s="280">
        <v>19</v>
      </c>
    </row>
    <row r="1144" spans="1:5" x14ac:dyDescent="0.2">
      <c r="A1144" s="228" t="s">
        <v>1359</v>
      </c>
      <c r="B1144" s="298">
        <v>36.973376891999997</v>
      </c>
      <c r="E1144" s="280">
        <v>19</v>
      </c>
    </row>
    <row r="1145" spans="1:5" x14ac:dyDescent="0.2">
      <c r="A1145" s="228" t="s">
        <v>1360</v>
      </c>
      <c r="B1145" s="298">
        <v>37.969080114</v>
      </c>
      <c r="C1145" s="280">
        <v>7.63</v>
      </c>
      <c r="D1145" s="280" t="s">
        <v>218</v>
      </c>
      <c r="E1145" s="280">
        <v>19</v>
      </c>
    </row>
    <row r="1146" spans="1:5" x14ac:dyDescent="0.2">
      <c r="A1146" s="228" t="s">
        <v>1361</v>
      </c>
      <c r="B1146" s="298">
        <v>38.963706860000002</v>
      </c>
      <c r="C1146" s="280">
        <v>0</v>
      </c>
      <c r="E1146" s="280">
        <v>19</v>
      </c>
    </row>
    <row r="1147" spans="1:5" x14ac:dyDescent="0.2">
      <c r="A1147" s="228" t="s">
        <v>1362</v>
      </c>
      <c r="B1147" s="298">
        <v>39.963998670999999</v>
      </c>
      <c r="C1147" s="282">
        <v>1280000000</v>
      </c>
      <c r="D1147" s="280" t="s">
        <v>249</v>
      </c>
      <c r="E1147" s="280">
        <v>19</v>
      </c>
    </row>
    <row r="1148" spans="1:5" x14ac:dyDescent="0.2">
      <c r="A1148" s="228" t="s">
        <v>1363</v>
      </c>
      <c r="B1148" s="298">
        <v>40.961825972</v>
      </c>
      <c r="C1148" s="280">
        <v>0</v>
      </c>
      <c r="E1148" s="280">
        <v>19</v>
      </c>
    </row>
    <row r="1149" spans="1:5" x14ac:dyDescent="0.2">
      <c r="A1149" s="228" t="s">
        <v>1364</v>
      </c>
      <c r="B1149" s="298">
        <v>41.962403059000003</v>
      </c>
      <c r="C1149" s="280">
        <v>12.36</v>
      </c>
      <c r="D1149" s="280" t="s">
        <v>199</v>
      </c>
      <c r="E1149" s="280">
        <v>19</v>
      </c>
    </row>
    <row r="1150" spans="1:5" x14ac:dyDescent="0.2">
      <c r="A1150" s="228" t="s">
        <v>1365</v>
      </c>
      <c r="B1150" s="298">
        <v>42.960715739999998</v>
      </c>
      <c r="C1150" s="280">
        <v>22.3</v>
      </c>
      <c r="D1150" s="280" t="s">
        <v>199</v>
      </c>
      <c r="E1150" s="280">
        <v>19</v>
      </c>
    </row>
    <row r="1151" spans="1:5" x14ac:dyDescent="0.2">
      <c r="A1151" s="228" t="s">
        <v>1366</v>
      </c>
      <c r="B1151" s="298">
        <v>43.961556131000002</v>
      </c>
      <c r="C1151" s="280">
        <v>22.1</v>
      </c>
      <c r="D1151" s="280" t="s">
        <v>218</v>
      </c>
      <c r="E1151" s="280">
        <v>19</v>
      </c>
    </row>
    <row r="1152" spans="1:5" x14ac:dyDescent="0.2">
      <c r="A1152" s="228" t="s">
        <v>1367</v>
      </c>
      <c r="B1152" s="298">
        <v>44.960699603000002</v>
      </c>
      <c r="E1152" s="280">
        <v>19</v>
      </c>
    </row>
    <row r="1153" spans="1:5" x14ac:dyDescent="0.2">
      <c r="A1153" s="228" t="s">
        <v>1368</v>
      </c>
      <c r="B1153" s="298">
        <v>45.961976114999999</v>
      </c>
      <c r="E1153" s="280">
        <v>19</v>
      </c>
    </row>
    <row r="1154" spans="1:5" x14ac:dyDescent="0.2">
      <c r="A1154" s="228" t="s">
        <v>1369</v>
      </c>
      <c r="B1154" s="298">
        <v>46.961677719000001</v>
      </c>
      <c r="E1154" s="280">
        <v>19</v>
      </c>
    </row>
    <row r="1155" spans="1:5" x14ac:dyDescent="0.2">
      <c r="A1155" s="228" t="s">
        <v>1370</v>
      </c>
      <c r="B1155" s="298">
        <v>47.965512857999997</v>
      </c>
      <c r="E1155" s="280">
        <v>19</v>
      </c>
    </row>
    <row r="1156" spans="1:5" x14ac:dyDescent="0.2">
      <c r="A1156" s="228" t="s">
        <v>1371</v>
      </c>
      <c r="B1156" s="298">
        <v>48.967449995000003</v>
      </c>
      <c r="E1156" s="280">
        <v>19</v>
      </c>
    </row>
    <row r="1157" spans="1:5" x14ac:dyDescent="0.2">
      <c r="A1157" s="228" t="s">
        <v>1372</v>
      </c>
      <c r="B1157" s="298">
        <v>49.972782743000003</v>
      </c>
      <c r="E1157" s="280">
        <v>19</v>
      </c>
    </row>
    <row r="1158" spans="1:5" x14ac:dyDescent="0.2">
      <c r="A1158" s="287" t="s">
        <v>1373</v>
      </c>
      <c r="B1158" s="299">
        <v>83.8</v>
      </c>
      <c r="C1158" s="288">
        <v>0</v>
      </c>
      <c r="D1158" s="288">
        <v>0</v>
      </c>
      <c r="E1158" s="288">
        <v>36</v>
      </c>
    </row>
    <row r="1159" spans="1:5" x14ac:dyDescent="0.2">
      <c r="A1159" s="228" t="s">
        <v>1374</v>
      </c>
      <c r="B1159" s="298">
        <v>69.956010000000006</v>
      </c>
      <c r="E1159" s="280">
        <v>36</v>
      </c>
    </row>
    <row r="1160" spans="1:5" x14ac:dyDescent="0.2">
      <c r="A1160" s="228" t="s">
        <v>1375</v>
      </c>
      <c r="B1160" s="298">
        <v>70.950509999999994</v>
      </c>
      <c r="E1160" s="280">
        <v>36</v>
      </c>
    </row>
    <row r="1161" spans="1:5" x14ac:dyDescent="0.2">
      <c r="A1161" s="228" t="s">
        <v>1376</v>
      </c>
      <c r="B1161" s="298">
        <v>71.94187848</v>
      </c>
      <c r="E1161" s="280">
        <v>36</v>
      </c>
    </row>
    <row r="1162" spans="1:5" x14ac:dyDescent="0.2">
      <c r="A1162" s="228" t="s">
        <v>1377</v>
      </c>
      <c r="B1162" s="298">
        <v>72.938931268000005</v>
      </c>
      <c r="E1162" s="280">
        <v>36</v>
      </c>
    </row>
    <row r="1163" spans="1:5" x14ac:dyDescent="0.2">
      <c r="A1163" s="228" t="s">
        <v>1378</v>
      </c>
      <c r="B1163" s="298">
        <v>73.933259816000003</v>
      </c>
      <c r="E1163" s="280">
        <v>36</v>
      </c>
    </row>
    <row r="1164" spans="1:5" x14ac:dyDescent="0.2">
      <c r="A1164" s="228" t="s">
        <v>1379</v>
      </c>
      <c r="B1164" s="298">
        <v>74.931035385000001</v>
      </c>
      <c r="E1164" s="280">
        <v>36</v>
      </c>
    </row>
    <row r="1165" spans="1:5" x14ac:dyDescent="0.2">
      <c r="A1165" s="228" t="s">
        <v>1380</v>
      </c>
      <c r="B1165" s="298">
        <v>75.925949895000002</v>
      </c>
      <c r="E1165" s="280">
        <v>36</v>
      </c>
    </row>
    <row r="1166" spans="1:5" x14ac:dyDescent="0.2">
      <c r="A1166" s="228" t="s">
        <v>1381</v>
      </c>
      <c r="B1166" s="298">
        <v>76.924669320000007</v>
      </c>
      <c r="E1166" s="280">
        <v>36</v>
      </c>
    </row>
    <row r="1167" spans="1:5" x14ac:dyDescent="0.2">
      <c r="A1167" s="228" t="s">
        <v>1382</v>
      </c>
      <c r="B1167" s="298">
        <v>77.920387861999998</v>
      </c>
      <c r="C1167" s="280">
        <v>0</v>
      </c>
      <c r="E1167" s="280">
        <v>36</v>
      </c>
    </row>
    <row r="1168" spans="1:5" x14ac:dyDescent="0.2">
      <c r="A1168" s="228" t="s">
        <v>1383</v>
      </c>
      <c r="B1168" s="298">
        <v>78.920083226000003</v>
      </c>
      <c r="C1168" s="280">
        <v>1.4550000000000001</v>
      </c>
      <c r="D1168" s="280" t="s">
        <v>192</v>
      </c>
      <c r="E1168" s="280">
        <v>36</v>
      </c>
    </row>
    <row r="1169" spans="1:5" x14ac:dyDescent="0.2">
      <c r="A1169" s="228" t="s">
        <v>1384</v>
      </c>
      <c r="B1169" s="298">
        <v>79.916378538000004</v>
      </c>
      <c r="C1169" s="280">
        <v>0</v>
      </c>
      <c r="E1169" s="280">
        <v>36</v>
      </c>
    </row>
    <row r="1170" spans="1:5" x14ac:dyDescent="0.2">
      <c r="A1170" s="228" t="s">
        <v>1385</v>
      </c>
      <c r="B1170" s="298">
        <v>80.916592800999993</v>
      </c>
      <c r="C1170" s="282">
        <v>210000</v>
      </c>
      <c r="D1170" s="280" t="s">
        <v>249</v>
      </c>
      <c r="E1170" s="280">
        <v>36</v>
      </c>
    </row>
    <row r="1171" spans="1:5" x14ac:dyDescent="0.2">
      <c r="A1171" s="228" t="s">
        <v>1386</v>
      </c>
      <c r="B1171" s="298">
        <v>81.913484972999996</v>
      </c>
      <c r="C1171" s="280">
        <v>0</v>
      </c>
      <c r="E1171" s="280">
        <v>36</v>
      </c>
    </row>
    <row r="1172" spans="1:5" x14ac:dyDescent="0.2">
      <c r="A1172" s="228" t="s">
        <v>1387</v>
      </c>
      <c r="B1172" s="298">
        <v>82.914137248000003</v>
      </c>
      <c r="C1172" s="280">
        <v>1.86</v>
      </c>
      <c r="D1172" s="280" t="s">
        <v>199</v>
      </c>
      <c r="E1172" s="280">
        <v>36</v>
      </c>
    </row>
    <row r="1173" spans="1:5" x14ac:dyDescent="0.2">
      <c r="A1173" s="228" t="s">
        <v>1388</v>
      </c>
      <c r="B1173" s="298">
        <v>83.911508084000005</v>
      </c>
      <c r="C1173" s="280">
        <v>0</v>
      </c>
      <c r="E1173" s="280">
        <v>36</v>
      </c>
    </row>
    <row r="1174" spans="1:5" x14ac:dyDescent="0.2">
      <c r="A1174" s="228" t="s">
        <v>1389</v>
      </c>
      <c r="B1174" s="298">
        <v>84.912529946999996</v>
      </c>
      <c r="C1174" s="280">
        <v>10.73</v>
      </c>
      <c r="D1174" s="280" t="s">
        <v>249</v>
      </c>
      <c r="E1174" s="280">
        <v>36</v>
      </c>
    </row>
    <row r="1175" spans="1:5" x14ac:dyDescent="0.2">
      <c r="A1175" s="228" t="s">
        <v>1390</v>
      </c>
      <c r="B1175" s="298">
        <v>85.910615081000003</v>
      </c>
      <c r="C1175" s="280">
        <v>0</v>
      </c>
      <c r="E1175" s="280">
        <v>36</v>
      </c>
    </row>
    <row r="1176" spans="1:5" x14ac:dyDescent="0.2">
      <c r="A1176" s="228" t="s">
        <v>1391</v>
      </c>
      <c r="B1176" s="298">
        <v>86.913358986999995</v>
      </c>
      <c r="C1176" s="280">
        <v>1.27</v>
      </c>
      <c r="D1176" s="280" t="s">
        <v>199</v>
      </c>
      <c r="E1176" s="280">
        <v>36</v>
      </c>
    </row>
    <row r="1177" spans="1:5" x14ac:dyDescent="0.2">
      <c r="A1177" s="228" t="s">
        <v>1392</v>
      </c>
      <c r="B1177" s="298">
        <v>87.914451752999994</v>
      </c>
      <c r="C1177" s="280">
        <v>2.84</v>
      </c>
      <c r="D1177" s="280" t="s">
        <v>199</v>
      </c>
      <c r="E1177" s="280">
        <v>36</v>
      </c>
    </row>
    <row r="1178" spans="1:5" x14ac:dyDescent="0.2">
      <c r="A1178" s="228" t="s">
        <v>1393</v>
      </c>
      <c r="B1178" s="298">
        <v>88.917640309000006</v>
      </c>
      <c r="E1178" s="280">
        <v>36</v>
      </c>
    </row>
    <row r="1179" spans="1:5" x14ac:dyDescent="0.2">
      <c r="A1179" s="228" t="s">
        <v>1394</v>
      </c>
      <c r="B1179" s="298">
        <v>89.919527677000005</v>
      </c>
      <c r="E1179" s="280">
        <v>36</v>
      </c>
    </row>
    <row r="1180" spans="1:5" x14ac:dyDescent="0.2">
      <c r="A1180" s="228" t="s">
        <v>1395</v>
      </c>
      <c r="B1180" s="298">
        <v>90.923399252999999</v>
      </c>
      <c r="E1180" s="280">
        <v>36</v>
      </c>
    </row>
    <row r="1181" spans="1:5" x14ac:dyDescent="0.2">
      <c r="A1181" s="228" t="s">
        <v>1396</v>
      </c>
      <c r="B1181" s="298">
        <v>91.926110675999993</v>
      </c>
      <c r="E1181" s="280">
        <v>36</v>
      </c>
    </row>
    <row r="1182" spans="1:5" x14ac:dyDescent="0.2">
      <c r="A1182" s="228" t="s">
        <v>1397</v>
      </c>
      <c r="B1182" s="298">
        <v>92.931183670999999</v>
      </c>
      <c r="E1182" s="280">
        <v>36</v>
      </c>
    </row>
    <row r="1183" spans="1:5" x14ac:dyDescent="0.2">
      <c r="A1183" s="228" t="s">
        <v>1398</v>
      </c>
      <c r="B1183" s="298">
        <v>93.934276999999994</v>
      </c>
      <c r="E1183" s="280">
        <v>36</v>
      </c>
    </row>
    <row r="1184" spans="1:5" x14ac:dyDescent="0.2">
      <c r="A1184" s="228" t="s">
        <v>1399</v>
      </c>
      <c r="B1184" s="298">
        <v>94.939729999999997</v>
      </c>
      <c r="E1184" s="280">
        <v>36</v>
      </c>
    </row>
    <row r="1185" spans="1:5" x14ac:dyDescent="0.2">
      <c r="A1185" s="228" t="s">
        <v>1400</v>
      </c>
      <c r="B1185" s="298">
        <v>95.942819999999998</v>
      </c>
      <c r="E1185" s="280">
        <v>36</v>
      </c>
    </row>
    <row r="1186" spans="1:5" x14ac:dyDescent="0.2">
      <c r="A1186" s="287" t="s">
        <v>1401</v>
      </c>
      <c r="B1186" s="299">
        <v>138.90549999999999</v>
      </c>
      <c r="C1186" s="288">
        <v>0</v>
      </c>
      <c r="D1186" s="288">
        <v>0</v>
      </c>
      <c r="E1186" s="288">
        <v>57</v>
      </c>
    </row>
    <row r="1187" spans="1:5" x14ac:dyDescent="0.2">
      <c r="A1187" s="228" t="s">
        <v>1402</v>
      </c>
      <c r="B1187" s="298">
        <v>117.94649</v>
      </c>
      <c r="E1187" s="280">
        <v>57</v>
      </c>
    </row>
    <row r="1188" spans="1:5" x14ac:dyDescent="0.2">
      <c r="A1188" s="228" t="s">
        <v>1403</v>
      </c>
      <c r="B1188" s="298">
        <v>118.94114999999999</v>
      </c>
      <c r="E1188" s="280">
        <v>57</v>
      </c>
    </row>
    <row r="1189" spans="1:5" x14ac:dyDescent="0.2">
      <c r="A1189" s="228" t="s">
        <v>1404</v>
      </c>
      <c r="B1189" s="298">
        <v>119.93807</v>
      </c>
      <c r="E1189" s="280">
        <v>57</v>
      </c>
    </row>
    <row r="1190" spans="1:5" x14ac:dyDescent="0.2">
      <c r="A1190" s="228" t="s">
        <v>1405</v>
      </c>
      <c r="B1190" s="298">
        <v>120.93301</v>
      </c>
      <c r="E1190" s="280">
        <v>57</v>
      </c>
    </row>
    <row r="1191" spans="1:5" x14ac:dyDescent="0.2">
      <c r="A1191" s="228" t="s">
        <v>1406</v>
      </c>
      <c r="B1191" s="298">
        <v>121.93071</v>
      </c>
      <c r="E1191" s="280">
        <v>57</v>
      </c>
    </row>
    <row r="1192" spans="1:5" x14ac:dyDescent="0.2">
      <c r="A1192" s="228" t="s">
        <v>1407</v>
      </c>
      <c r="B1192" s="298">
        <v>122.92624000000001</v>
      </c>
      <c r="E1192" s="280">
        <v>57</v>
      </c>
    </row>
    <row r="1193" spans="1:5" x14ac:dyDescent="0.2">
      <c r="A1193" s="228" t="s">
        <v>1408</v>
      </c>
      <c r="B1193" s="298">
        <v>123.92453</v>
      </c>
      <c r="E1193" s="280">
        <v>57</v>
      </c>
    </row>
    <row r="1194" spans="1:5" x14ac:dyDescent="0.2">
      <c r="A1194" s="228" t="s">
        <v>1409</v>
      </c>
      <c r="B1194" s="298">
        <v>124.92067</v>
      </c>
      <c r="E1194" s="280">
        <v>57</v>
      </c>
    </row>
    <row r="1195" spans="1:5" x14ac:dyDescent="0.2">
      <c r="A1195" s="228" t="s">
        <v>1410</v>
      </c>
      <c r="B1195" s="298">
        <v>125.91937</v>
      </c>
      <c r="E1195" s="280">
        <v>57</v>
      </c>
    </row>
    <row r="1196" spans="1:5" x14ac:dyDescent="0.2">
      <c r="A1196" s="228" t="s">
        <v>1411</v>
      </c>
      <c r="B1196" s="298">
        <v>126.91616</v>
      </c>
      <c r="E1196" s="280">
        <v>57</v>
      </c>
    </row>
    <row r="1197" spans="1:5" x14ac:dyDescent="0.2">
      <c r="A1197" s="228" t="s">
        <v>1412</v>
      </c>
      <c r="B1197" s="298">
        <v>127.915448252</v>
      </c>
      <c r="E1197" s="280">
        <v>57</v>
      </c>
    </row>
    <row r="1198" spans="1:5" x14ac:dyDescent="0.2">
      <c r="A1198" s="228" t="s">
        <v>1413</v>
      </c>
      <c r="B1198" s="298">
        <v>128.912669083</v>
      </c>
      <c r="E1198" s="280">
        <v>57</v>
      </c>
    </row>
    <row r="1199" spans="1:5" x14ac:dyDescent="0.2">
      <c r="A1199" s="228" t="s">
        <v>1414</v>
      </c>
      <c r="B1199" s="298">
        <v>129.91231999999999</v>
      </c>
      <c r="E1199" s="280">
        <v>57</v>
      </c>
    </row>
    <row r="1200" spans="1:5" x14ac:dyDescent="0.2">
      <c r="A1200" s="228" t="s">
        <v>1415</v>
      </c>
      <c r="B1200" s="298">
        <v>130.910108936</v>
      </c>
      <c r="E1200" s="280">
        <v>57</v>
      </c>
    </row>
    <row r="1201" spans="1:5" x14ac:dyDescent="0.2">
      <c r="A1201" s="228" t="s">
        <v>1416</v>
      </c>
      <c r="B1201" s="298">
        <v>131.91011069000001</v>
      </c>
      <c r="E1201" s="280">
        <v>57</v>
      </c>
    </row>
    <row r="1202" spans="1:5" x14ac:dyDescent="0.2">
      <c r="A1202" s="228" t="s">
        <v>1417</v>
      </c>
      <c r="B1202" s="298">
        <v>132.90839666299999</v>
      </c>
      <c r="E1202" s="280">
        <v>57</v>
      </c>
    </row>
    <row r="1203" spans="1:5" x14ac:dyDescent="0.2">
      <c r="A1203" s="228" t="s">
        <v>1418</v>
      </c>
      <c r="B1203" s="298">
        <v>133.90848988900001</v>
      </c>
      <c r="E1203" s="280">
        <v>57</v>
      </c>
    </row>
    <row r="1204" spans="1:5" x14ac:dyDescent="0.2">
      <c r="A1204" s="228" t="s">
        <v>1419</v>
      </c>
      <c r="B1204" s="298">
        <v>134.906972086</v>
      </c>
      <c r="E1204" s="280">
        <v>57</v>
      </c>
    </row>
    <row r="1205" spans="1:5" x14ac:dyDescent="0.2">
      <c r="A1205" s="228" t="s">
        <v>1420</v>
      </c>
      <c r="B1205" s="298">
        <v>135.907652265</v>
      </c>
      <c r="E1205" s="280">
        <v>57</v>
      </c>
    </row>
    <row r="1206" spans="1:5" x14ac:dyDescent="0.2">
      <c r="A1206" s="228" t="s">
        <v>1421</v>
      </c>
      <c r="B1206" s="298">
        <v>136.90646637899999</v>
      </c>
      <c r="E1206" s="280">
        <v>57</v>
      </c>
    </row>
    <row r="1207" spans="1:5" x14ac:dyDescent="0.2">
      <c r="A1207" s="228" t="s">
        <v>1422</v>
      </c>
      <c r="B1207" s="298">
        <v>137.90710760100001</v>
      </c>
      <c r="E1207" s="280">
        <v>57</v>
      </c>
    </row>
    <row r="1208" spans="1:5" x14ac:dyDescent="0.2">
      <c r="A1208" s="228" t="s">
        <v>1423</v>
      </c>
      <c r="B1208" s="298">
        <v>138.90634893500001</v>
      </c>
      <c r="E1208" s="280">
        <v>57</v>
      </c>
    </row>
    <row r="1209" spans="1:5" x14ac:dyDescent="0.2">
      <c r="A1209" s="228" t="s">
        <v>1424</v>
      </c>
      <c r="B1209" s="298">
        <v>139.909473327</v>
      </c>
      <c r="E1209" s="280">
        <v>57</v>
      </c>
    </row>
    <row r="1210" spans="1:5" x14ac:dyDescent="0.2">
      <c r="A1210" s="228" t="s">
        <v>1425</v>
      </c>
      <c r="B1210" s="298">
        <v>140.91095789100001</v>
      </c>
      <c r="E1210" s="280">
        <v>57</v>
      </c>
    </row>
    <row r="1211" spans="1:5" x14ac:dyDescent="0.2">
      <c r="A1211" s="228" t="s">
        <v>1426</v>
      </c>
      <c r="B1211" s="298">
        <v>141.914076951</v>
      </c>
      <c r="E1211" s="280">
        <v>57</v>
      </c>
    </row>
    <row r="1212" spans="1:5" x14ac:dyDescent="0.2">
      <c r="A1212" s="228" t="s">
        <v>1427</v>
      </c>
      <c r="B1212" s="298">
        <v>142.91605836299999</v>
      </c>
      <c r="E1212" s="280">
        <v>57</v>
      </c>
    </row>
    <row r="1213" spans="1:5" x14ac:dyDescent="0.2">
      <c r="A1213" s="228" t="s">
        <v>1428</v>
      </c>
      <c r="B1213" s="298">
        <v>143.91959211700001</v>
      </c>
      <c r="E1213" s="280">
        <v>57</v>
      </c>
    </row>
    <row r="1214" spans="1:5" x14ac:dyDescent="0.2">
      <c r="A1214" s="228" t="s">
        <v>1429</v>
      </c>
      <c r="B1214" s="298">
        <v>144.92165027199999</v>
      </c>
      <c r="E1214" s="280">
        <v>57</v>
      </c>
    </row>
    <row r="1215" spans="1:5" x14ac:dyDescent="0.2">
      <c r="A1215" s="228" t="s">
        <v>1430</v>
      </c>
      <c r="B1215" s="298">
        <v>145.92575684299999</v>
      </c>
      <c r="E1215" s="280">
        <v>57</v>
      </c>
    </row>
    <row r="1216" spans="1:5" x14ac:dyDescent="0.2">
      <c r="A1216" s="228" t="s">
        <v>1431</v>
      </c>
      <c r="B1216" s="298">
        <v>146.92782021299999</v>
      </c>
      <c r="E1216" s="280">
        <v>57</v>
      </c>
    </row>
    <row r="1217" spans="1:5" x14ac:dyDescent="0.2">
      <c r="A1217" s="228" t="s">
        <v>1432</v>
      </c>
      <c r="B1217" s="298">
        <v>147.932191754</v>
      </c>
      <c r="E1217" s="280">
        <v>57</v>
      </c>
    </row>
    <row r="1218" spans="1:5" x14ac:dyDescent="0.2">
      <c r="A1218" s="228" t="s">
        <v>1433</v>
      </c>
      <c r="B1218" s="298">
        <v>148.9342</v>
      </c>
      <c r="E1218" s="280">
        <v>57</v>
      </c>
    </row>
    <row r="1219" spans="1:5" x14ac:dyDescent="0.2">
      <c r="A1219" s="228" t="s">
        <v>1434</v>
      </c>
      <c r="B1219" s="298">
        <v>149.93863999999999</v>
      </c>
      <c r="E1219" s="280">
        <v>57</v>
      </c>
    </row>
    <row r="1220" spans="1:5" x14ac:dyDescent="0.2">
      <c r="A1220" s="228" t="s">
        <v>1435</v>
      </c>
      <c r="B1220" s="298">
        <v>150.94134</v>
      </c>
      <c r="E1220" s="280">
        <v>57</v>
      </c>
    </row>
    <row r="1221" spans="1:5" x14ac:dyDescent="0.2">
      <c r="A1221" s="287" t="s">
        <v>1436</v>
      </c>
      <c r="B1221" s="299">
        <v>6.9409999999999998</v>
      </c>
      <c r="C1221" s="288">
        <v>0</v>
      </c>
      <c r="D1221" s="288">
        <v>0</v>
      </c>
      <c r="E1221" s="288">
        <v>3</v>
      </c>
    </row>
    <row r="1222" spans="1:5" x14ac:dyDescent="0.2">
      <c r="A1222" s="228" t="s">
        <v>1437</v>
      </c>
      <c r="B1222" s="298">
        <v>10.035904263000001</v>
      </c>
      <c r="E1222" s="280">
        <v>3</v>
      </c>
    </row>
    <row r="1223" spans="1:5" x14ac:dyDescent="0.2">
      <c r="A1223" s="228" t="s">
        <v>1438</v>
      </c>
      <c r="B1223" s="298">
        <v>11.043787875</v>
      </c>
      <c r="C1223" s="280">
        <v>8.6999999999999993</v>
      </c>
      <c r="D1223" s="280" t="s">
        <v>184</v>
      </c>
      <c r="E1223" s="280">
        <v>3</v>
      </c>
    </row>
    <row r="1224" spans="1:5" x14ac:dyDescent="0.2">
      <c r="A1224" s="228" t="s">
        <v>1439</v>
      </c>
      <c r="B1224" s="298">
        <v>4.0271823290000004</v>
      </c>
      <c r="E1224" s="280">
        <v>3</v>
      </c>
    </row>
    <row r="1225" spans="1:5" x14ac:dyDescent="0.2">
      <c r="A1225" s="228" t="s">
        <v>1440</v>
      </c>
      <c r="B1225" s="298">
        <v>5.0125377960000002</v>
      </c>
      <c r="C1225" s="282">
        <v>2.9999999999999999E-22</v>
      </c>
      <c r="D1225" s="280" t="s">
        <v>168</v>
      </c>
      <c r="E1225" s="280">
        <v>3</v>
      </c>
    </row>
    <row r="1226" spans="1:5" x14ac:dyDescent="0.2">
      <c r="A1226" s="228" t="s">
        <v>1441</v>
      </c>
      <c r="B1226" s="298">
        <v>6.0151223060000003</v>
      </c>
      <c r="C1226" s="280">
        <v>0</v>
      </c>
      <c r="E1226" s="280">
        <v>3</v>
      </c>
    </row>
    <row r="1227" spans="1:5" x14ac:dyDescent="0.2">
      <c r="A1227" s="228" t="s">
        <v>1442</v>
      </c>
      <c r="B1227" s="298">
        <v>7.0160040730000004</v>
      </c>
      <c r="C1227" s="280">
        <v>0</v>
      </c>
      <c r="E1227" s="280">
        <v>3</v>
      </c>
    </row>
    <row r="1228" spans="1:5" x14ac:dyDescent="0.2">
      <c r="A1228" s="228" t="s">
        <v>1443</v>
      </c>
      <c r="B1228" s="298">
        <v>8.0224856239999998</v>
      </c>
      <c r="C1228" s="280">
        <v>0.84</v>
      </c>
      <c r="D1228" s="280" t="s">
        <v>168</v>
      </c>
      <c r="E1228" s="280">
        <v>3</v>
      </c>
    </row>
    <row r="1229" spans="1:5" x14ac:dyDescent="0.2">
      <c r="A1229" s="228" t="s">
        <v>1444</v>
      </c>
      <c r="B1229" s="298">
        <v>9.0267891870000003</v>
      </c>
      <c r="C1229" s="280">
        <v>177</v>
      </c>
      <c r="D1229" s="280" t="s">
        <v>184</v>
      </c>
      <c r="E1229" s="280">
        <v>3</v>
      </c>
    </row>
    <row r="1230" spans="1:5" x14ac:dyDescent="0.2">
      <c r="A1230" s="287" t="s">
        <v>3174</v>
      </c>
      <c r="B1230" s="299">
        <v>260</v>
      </c>
      <c r="C1230" s="288"/>
      <c r="D1230" s="288"/>
      <c r="E1230" s="288">
        <v>103</v>
      </c>
    </row>
    <row r="1231" spans="1:5" x14ac:dyDescent="0.2">
      <c r="A1231" s="291" t="s">
        <v>1445</v>
      </c>
      <c r="B1231" s="301">
        <v>253.1</v>
      </c>
      <c r="C1231" s="292"/>
      <c r="D1231" s="292"/>
      <c r="E1231" s="280">
        <v>103</v>
      </c>
    </row>
    <row r="1232" spans="1:5" x14ac:dyDescent="0.2">
      <c r="A1232" s="228" t="s">
        <v>1446</v>
      </c>
      <c r="B1232" s="298">
        <v>254.09647899999999</v>
      </c>
      <c r="E1232" s="280">
        <v>103</v>
      </c>
    </row>
    <row r="1233" spans="1:5" x14ac:dyDescent="0.2">
      <c r="A1233" s="228" t="s">
        <v>1447</v>
      </c>
      <c r="B1233" s="298">
        <v>255.09671599999999</v>
      </c>
      <c r="E1233" s="280">
        <v>103</v>
      </c>
    </row>
    <row r="1234" spans="1:5" x14ac:dyDescent="0.2">
      <c r="A1234" s="228" t="s">
        <v>1448</v>
      </c>
      <c r="B1234" s="298">
        <v>256.098771</v>
      </c>
      <c r="E1234" s="280">
        <v>103</v>
      </c>
    </row>
    <row r="1235" spans="1:5" x14ac:dyDescent="0.2">
      <c r="A1235" s="228" t="s">
        <v>1449</v>
      </c>
      <c r="B1235" s="298">
        <v>257.09955200000002</v>
      </c>
      <c r="E1235" s="280">
        <v>103</v>
      </c>
    </row>
    <row r="1236" spans="1:5" x14ac:dyDescent="0.2">
      <c r="A1236" s="228" t="s">
        <v>1450</v>
      </c>
      <c r="B1236" s="298">
        <v>258.10188499999998</v>
      </c>
      <c r="E1236" s="280">
        <v>103</v>
      </c>
    </row>
    <row r="1237" spans="1:5" x14ac:dyDescent="0.2">
      <c r="A1237" s="228" t="s">
        <v>1451</v>
      </c>
      <c r="B1237" s="298">
        <v>259.10298999999998</v>
      </c>
      <c r="E1237" s="280">
        <v>103</v>
      </c>
    </row>
    <row r="1238" spans="1:5" x14ac:dyDescent="0.2">
      <c r="A1238" s="228" t="s">
        <v>1452</v>
      </c>
      <c r="B1238" s="298">
        <v>260.105571</v>
      </c>
      <c r="E1238" s="280">
        <v>103</v>
      </c>
    </row>
    <row r="1239" spans="1:5" x14ac:dyDescent="0.2">
      <c r="A1239" s="228" t="s">
        <v>1453</v>
      </c>
      <c r="B1239" s="298">
        <v>261.10694100000001</v>
      </c>
      <c r="E1239" s="280">
        <v>103</v>
      </c>
    </row>
    <row r="1240" spans="1:5" x14ac:dyDescent="0.2">
      <c r="A1240" s="228" t="s">
        <v>1454</v>
      </c>
      <c r="B1240" s="298">
        <v>262.10982000000001</v>
      </c>
      <c r="E1240" s="280">
        <v>103</v>
      </c>
    </row>
    <row r="1241" spans="1:5" x14ac:dyDescent="0.2">
      <c r="A1241" s="228" t="s">
        <v>1455</v>
      </c>
      <c r="B1241" s="298">
        <v>263.1114</v>
      </c>
      <c r="E1241" s="280">
        <v>103</v>
      </c>
    </row>
    <row r="1242" spans="1:5" x14ac:dyDescent="0.2">
      <c r="A1242" s="228" t="s">
        <v>1456</v>
      </c>
      <c r="B1242" s="298">
        <v>264.11433</v>
      </c>
      <c r="E1242" s="280">
        <v>103</v>
      </c>
    </row>
    <row r="1243" spans="1:5" x14ac:dyDescent="0.2">
      <c r="A1243" s="228" t="s">
        <v>1457</v>
      </c>
      <c r="B1243" s="298">
        <v>265.11615999999998</v>
      </c>
      <c r="E1243" s="280">
        <v>103</v>
      </c>
    </row>
    <row r="1244" spans="1:5" x14ac:dyDescent="0.2">
      <c r="A1244" s="287" t="s">
        <v>1458</v>
      </c>
      <c r="B1244" s="299">
        <v>174.96700000000001</v>
      </c>
      <c r="C1244" s="288">
        <v>0</v>
      </c>
      <c r="D1244" s="288">
        <v>0</v>
      </c>
      <c r="E1244" s="288">
        <v>71</v>
      </c>
    </row>
    <row r="1245" spans="1:5" x14ac:dyDescent="0.2">
      <c r="A1245" s="228" t="s">
        <v>1459</v>
      </c>
      <c r="B1245" s="298">
        <v>149.973028</v>
      </c>
      <c r="E1245" s="280">
        <v>71</v>
      </c>
    </row>
    <row r="1246" spans="1:5" x14ac:dyDescent="0.2">
      <c r="A1246" s="228" t="s">
        <v>1460</v>
      </c>
      <c r="B1246" s="298">
        <v>150.967061</v>
      </c>
      <c r="E1246" s="280">
        <v>71</v>
      </c>
    </row>
    <row r="1247" spans="1:5" x14ac:dyDescent="0.2">
      <c r="A1247" s="228" t="s">
        <v>1461</v>
      </c>
      <c r="B1247" s="298">
        <v>151.96342000000001</v>
      </c>
      <c r="E1247" s="280">
        <v>71</v>
      </c>
    </row>
    <row r="1248" spans="1:5" x14ac:dyDescent="0.2">
      <c r="A1248" s="228" t="s">
        <v>1462</v>
      </c>
      <c r="B1248" s="298">
        <v>152.95868999999999</v>
      </c>
      <c r="E1248" s="280">
        <v>71</v>
      </c>
    </row>
    <row r="1249" spans="1:5" x14ac:dyDescent="0.2">
      <c r="A1249" s="228" t="s">
        <v>1463</v>
      </c>
      <c r="B1249" s="298">
        <v>153.9571</v>
      </c>
      <c r="E1249" s="280">
        <v>71</v>
      </c>
    </row>
    <row r="1250" spans="1:5" x14ac:dyDescent="0.2">
      <c r="A1250" s="228" t="s">
        <v>1464</v>
      </c>
      <c r="B1250" s="298">
        <v>154.954173</v>
      </c>
      <c r="E1250" s="280">
        <v>71</v>
      </c>
    </row>
    <row r="1251" spans="1:5" x14ac:dyDescent="0.2">
      <c r="A1251" s="228" t="s">
        <v>1465</v>
      </c>
      <c r="B1251" s="298">
        <v>155.95290700000001</v>
      </c>
      <c r="E1251" s="280">
        <v>71</v>
      </c>
    </row>
    <row r="1252" spans="1:5" x14ac:dyDescent="0.2">
      <c r="A1252" s="228" t="s">
        <v>1466</v>
      </c>
      <c r="B1252" s="298">
        <v>156.950102488</v>
      </c>
      <c r="E1252" s="280">
        <v>71</v>
      </c>
    </row>
    <row r="1253" spans="1:5" x14ac:dyDescent="0.2">
      <c r="A1253" s="228" t="s">
        <v>1467</v>
      </c>
      <c r="B1253" s="298">
        <v>157.94917000000001</v>
      </c>
      <c r="E1253" s="280">
        <v>71</v>
      </c>
    </row>
    <row r="1254" spans="1:5" x14ac:dyDescent="0.2">
      <c r="A1254" s="228" t="s">
        <v>1468</v>
      </c>
      <c r="B1254" s="298">
        <v>158.946663425</v>
      </c>
      <c r="E1254" s="280">
        <v>71</v>
      </c>
    </row>
    <row r="1255" spans="1:5" x14ac:dyDescent="0.2">
      <c r="A1255" s="228" t="s">
        <v>1469</v>
      </c>
      <c r="B1255" s="298">
        <v>159.94602</v>
      </c>
      <c r="E1255" s="280">
        <v>71</v>
      </c>
    </row>
    <row r="1256" spans="1:5" x14ac:dyDescent="0.2">
      <c r="A1256" s="228" t="s">
        <v>1470</v>
      </c>
      <c r="B1256" s="298">
        <v>160.94354300000001</v>
      </c>
      <c r="E1256" s="280">
        <v>71</v>
      </c>
    </row>
    <row r="1257" spans="1:5" x14ac:dyDescent="0.2">
      <c r="A1257" s="228" t="s">
        <v>1471</v>
      </c>
      <c r="B1257" s="298">
        <v>161.943501</v>
      </c>
      <c r="E1257" s="280">
        <v>71</v>
      </c>
    </row>
    <row r="1258" spans="1:5" x14ac:dyDescent="0.2">
      <c r="A1258" s="228" t="s">
        <v>1472</v>
      </c>
      <c r="B1258" s="298">
        <v>162.941203935</v>
      </c>
      <c r="E1258" s="280">
        <v>71</v>
      </c>
    </row>
    <row r="1259" spans="1:5" x14ac:dyDescent="0.2">
      <c r="A1259" s="228" t="s">
        <v>1473</v>
      </c>
      <c r="B1259" s="298">
        <v>163.94122999999999</v>
      </c>
      <c r="E1259" s="280">
        <v>71</v>
      </c>
    </row>
    <row r="1260" spans="1:5" x14ac:dyDescent="0.2">
      <c r="A1260" s="228" t="s">
        <v>1474</v>
      </c>
      <c r="B1260" s="298">
        <v>164.93960610400001</v>
      </c>
      <c r="E1260" s="280">
        <v>71</v>
      </c>
    </row>
    <row r="1261" spans="1:5" x14ac:dyDescent="0.2">
      <c r="A1261" s="228" t="s">
        <v>1475</v>
      </c>
      <c r="B1261" s="298">
        <v>165.939762917</v>
      </c>
      <c r="E1261" s="280">
        <v>71</v>
      </c>
    </row>
    <row r="1262" spans="1:5" x14ac:dyDescent="0.2">
      <c r="A1262" s="228" t="s">
        <v>1476</v>
      </c>
      <c r="B1262" s="298">
        <v>166.93830734100001</v>
      </c>
      <c r="E1262" s="280">
        <v>71</v>
      </c>
    </row>
    <row r="1263" spans="1:5" x14ac:dyDescent="0.2">
      <c r="A1263" s="228" t="s">
        <v>1477</v>
      </c>
      <c r="B1263" s="298">
        <v>167.93869884599999</v>
      </c>
      <c r="E1263" s="280">
        <v>71</v>
      </c>
    </row>
    <row r="1264" spans="1:5" x14ac:dyDescent="0.2">
      <c r="A1264" s="228" t="s">
        <v>1478</v>
      </c>
      <c r="B1264" s="298">
        <v>168.93764902800001</v>
      </c>
      <c r="E1264" s="280">
        <v>71</v>
      </c>
    </row>
    <row r="1265" spans="1:5" x14ac:dyDescent="0.2">
      <c r="A1265" s="228" t="s">
        <v>1479</v>
      </c>
      <c r="B1265" s="298">
        <v>169.938472459</v>
      </c>
      <c r="E1265" s="280">
        <v>71</v>
      </c>
    </row>
    <row r="1266" spans="1:5" x14ac:dyDescent="0.2">
      <c r="A1266" s="228" t="s">
        <v>1480</v>
      </c>
      <c r="B1266" s="298">
        <v>170.93791016200001</v>
      </c>
      <c r="E1266" s="280">
        <v>71</v>
      </c>
    </row>
    <row r="1267" spans="1:5" x14ac:dyDescent="0.2">
      <c r="A1267" s="228" t="s">
        <v>1481</v>
      </c>
      <c r="B1267" s="298">
        <v>171.93908249399999</v>
      </c>
      <c r="E1267" s="280">
        <v>71</v>
      </c>
    </row>
    <row r="1268" spans="1:5" x14ac:dyDescent="0.2">
      <c r="A1268" s="228" t="s">
        <v>1482</v>
      </c>
      <c r="B1268" s="298">
        <v>172.93892715600001</v>
      </c>
      <c r="E1268" s="280">
        <v>71</v>
      </c>
    </row>
    <row r="1269" spans="1:5" x14ac:dyDescent="0.2">
      <c r="A1269" s="228" t="s">
        <v>1483</v>
      </c>
      <c r="B1269" s="298">
        <v>173.940333775</v>
      </c>
      <c r="E1269" s="280">
        <v>71</v>
      </c>
    </row>
    <row r="1270" spans="1:5" x14ac:dyDescent="0.2">
      <c r="A1270" s="228" t="s">
        <v>1484</v>
      </c>
      <c r="B1270" s="298">
        <v>174.94076815700001</v>
      </c>
      <c r="E1270" s="280">
        <v>71</v>
      </c>
    </row>
    <row r="1271" spans="1:5" x14ac:dyDescent="0.2">
      <c r="A1271" s="228" t="s">
        <v>1485</v>
      </c>
      <c r="B1271" s="298">
        <v>175.94268265299999</v>
      </c>
      <c r="E1271" s="280">
        <v>71</v>
      </c>
    </row>
    <row r="1272" spans="1:5" x14ac:dyDescent="0.2">
      <c r="A1272" s="228" t="s">
        <v>1486</v>
      </c>
      <c r="B1272" s="298">
        <v>176.943755229</v>
      </c>
      <c r="E1272" s="280">
        <v>71</v>
      </c>
    </row>
    <row r="1273" spans="1:5" x14ac:dyDescent="0.2">
      <c r="A1273" s="228" t="s">
        <v>1487</v>
      </c>
      <c r="B1273" s="298">
        <v>177.94595161000001</v>
      </c>
      <c r="E1273" s="280">
        <v>71</v>
      </c>
    </row>
    <row r="1274" spans="1:5" x14ac:dyDescent="0.2">
      <c r="A1274" s="228" t="s">
        <v>1488</v>
      </c>
      <c r="B1274" s="298">
        <v>178.947324106</v>
      </c>
      <c r="E1274" s="280">
        <v>71</v>
      </c>
    </row>
    <row r="1275" spans="1:5" x14ac:dyDescent="0.2">
      <c r="A1275" s="228" t="s">
        <v>1489</v>
      </c>
      <c r="B1275" s="298">
        <v>179.94987997999999</v>
      </c>
      <c r="E1275" s="280">
        <v>71</v>
      </c>
    </row>
    <row r="1276" spans="1:5" x14ac:dyDescent="0.2">
      <c r="A1276" s="228" t="s">
        <v>1490</v>
      </c>
      <c r="B1276" s="298">
        <v>180.95177000000001</v>
      </c>
      <c r="E1276" s="280">
        <v>71</v>
      </c>
    </row>
    <row r="1277" spans="1:5" x14ac:dyDescent="0.2">
      <c r="A1277" s="287" t="s">
        <v>3175</v>
      </c>
      <c r="B1277" s="299">
        <v>258</v>
      </c>
      <c r="C1277" s="288"/>
      <c r="D1277" s="288"/>
      <c r="E1277" s="288">
        <v>101</v>
      </c>
    </row>
    <row r="1278" spans="1:5" x14ac:dyDescent="0.2">
      <c r="A1278" s="228" t="s">
        <v>1491</v>
      </c>
      <c r="B1278" s="298">
        <v>247.08170000000001</v>
      </c>
      <c r="E1278" s="280">
        <v>101</v>
      </c>
    </row>
    <row r="1279" spans="1:5" x14ac:dyDescent="0.2">
      <c r="A1279" s="228" t="s">
        <v>1492</v>
      </c>
      <c r="B1279" s="298">
        <v>248.08282299999999</v>
      </c>
      <c r="E1279" s="280">
        <v>101</v>
      </c>
    </row>
    <row r="1280" spans="1:5" x14ac:dyDescent="0.2">
      <c r="A1280" s="228" t="s">
        <v>1493</v>
      </c>
      <c r="B1280" s="298">
        <v>249.083001</v>
      </c>
      <c r="E1280" s="280">
        <v>101</v>
      </c>
    </row>
    <row r="1281" spans="1:5" x14ac:dyDescent="0.2">
      <c r="A1281" s="228" t="s">
        <v>1494</v>
      </c>
      <c r="B1281" s="298">
        <v>250.084487</v>
      </c>
      <c r="E1281" s="280">
        <v>101</v>
      </c>
    </row>
    <row r="1282" spans="1:5" x14ac:dyDescent="0.2">
      <c r="A1282" s="228" t="s">
        <v>1495</v>
      </c>
      <c r="B1282" s="298">
        <v>251.08486400000001</v>
      </c>
      <c r="E1282" s="280">
        <v>101</v>
      </c>
    </row>
    <row r="1283" spans="1:5" x14ac:dyDescent="0.2">
      <c r="A1283" s="228" t="s">
        <v>1496</v>
      </c>
      <c r="B1283" s="298">
        <v>252.08663000000001</v>
      </c>
      <c r="E1283" s="280">
        <v>101</v>
      </c>
    </row>
    <row r="1284" spans="1:5" x14ac:dyDescent="0.2">
      <c r="A1284" s="228" t="s">
        <v>1497</v>
      </c>
      <c r="B1284" s="298">
        <v>253.08727999999999</v>
      </c>
      <c r="E1284" s="280">
        <v>101</v>
      </c>
    </row>
    <row r="1285" spans="1:5" x14ac:dyDescent="0.2">
      <c r="A1285" s="228" t="s">
        <v>1498</v>
      </c>
      <c r="B1285" s="298">
        <v>254.08972700000001</v>
      </c>
      <c r="E1285" s="280">
        <v>101</v>
      </c>
    </row>
    <row r="1286" spans="1:5" x14ac:dyDescent="0.2">
      <c r="A1286" s="228" t="s">
        <v>1499</v>
      </c>
      <c r="B1286" s="298">
        <v>255.09107454700001</v>
      </c>
      <c r="E1286" s="280">
        <v>101</v>
      </c>
    </row>
    <row r="1287" spans="1:5" x14ac:dyDescent="0.2">
      <c r="A1287" s="228" t="s">
        <v>1500</v>
      </c>
      <c r="B1287" s="298">
        <v>256.09405179599997</v>
      </c>
      <c r="E1287" s="280">
        <v>101</v>
      </c>
    </row>
    <row r="1288" spans="1:5" x14ac:dyDescent="0.2">
      <c r="A1288" s="228" t="s">
        <v>1501</v>
      </c>
      <c r="B1288" s="298">
        <v>257.09553467900002</v>
      </c>
      <c r="E1288" s="280">
        <v>101</v>
      </c>
    </row>
    <row r="1289" spans="1:5" x14ac:dyDescent="0.2">
      <c r="A1289" s="228" t="s">
        <v>1502</v>
      </c>
      <c r="B1289" s="298">
        <v>258.098426598</v>
      </c>
      <c r="E1289" s="280">
        <v>101</v>
      </c>
    </row>
    <row r="1290" spans="1:5" x14ac:dyDescent="0.2">
      <c r="A1290" s="228" t="s">
        <v>1503</v>
      </c>
      <c r="B1290" s="298">
        <v>259.10050100000001</v>
      </c>
      <c r="E1290" s="280">
        <v>101</v>
      </c>
    </row>
    <row r="1291" spans="1:5" x14ac:dyDescent="0.2">
      <c r="A1291" s="228" t="s">
        <v>1504</v>
      </c>
      <c r="B1291" s="298">
        <v>260.1037</v>
      </c>
      <c r="E1291" s="280">
        <v>101</v>
      </c>
    </row>
    <row r="1292" spans="1:5" x14ac:dyDescent="0.2">
      <c r="A1292" s="228" t="s">
        <v>1505</v>
      </c>
      <c r="B1292" s="298">
        <v>261.10563999999999</v>
      </c>
      <c r="E1292" s="280">
        <v>101</v>
      </c>
    </row>
    <row r="1293" spans="1:5" x14ac:dyDescent="0.2">
      <c r="A1293" s="287" t="s">
        <v>1506</v>
      </c>
      <c r="B1293" s="299">
        <v>24.305</v>
      </c>
      <c r="C1293" s="288">
        <v>0</v>
      </c>
      <c r="D1293" s="288">
        <v>0</v>
      </c>
      <c r="E1293" s="288">
        <v>12</v>
      </c>
    </row>
    <row r="1294" spans="1:5" x14ac:dyDescent="0.2">
      <c r="A1294" s="228" t="s">
        <v>1507</v>
      </c>
      <c r="B1294" s="298">
        <v>19.034300000000002</v>
      </c>
      <c r="E1294" s="280">
        <v>12</v>
      </c>
    </row>
    <row r="1295" spans="1:5" x14ac:dyDescent="0.2">
      <c r="A1295" s="228" t="s">
        <v>1508</v>
      </c>
      <c r="B1295" s="298">
        <v>20.018862721000001</v>
      </c>
      <c r="E1295" s="280">
        <v>12</v>
      </c>
    </row>
    <row r="1296" spans="1:5" x14ac:dyDescent="0.2">
      <c r="A1296" s="228" t="s">
        <v>1509</v>
      </c>
      <c r="B1296" s="298">
        <v>21.01171415</v>
      </c>
      <c r="E1296" s="280">
        <v>12</v>
      </c>
    </row>
    <row r="1297" spans="1:5" x14ac:dyDescent="0.2">
      <c r="A1297" s="228" t="s">
        <v>1510</v>
      </c>
      <c r="B1297" s="298">
        <v>21.999574031000002</v>
      </c>
      <c r="E1297" s="280">
        <v>12</v>
      </c>
    </row>
    <row r="1298" spans="1:5" x14ac:dyDescent="0.2">
      <c r="A1298" s="228" t="s">
        <v>1511</v>
      </c>
      <c r="B1298" s="298">
        <v>22.994124828</v>
      </c>
      <c r="C1298" s="280">
        <v>11.32</v>
      </c>
      <c r="D1298" s="280" t="s">
        <v>168</v>
      </c>
      <c r="E1298" s="280">
        <v>12</v>
      </c>
    </row>
    <row r="1299" spans="1:5" x14ac:dyDescent="0.2">
      <c r="A1299" s="228" t="s">
        <v>1512</v>
      </c>
      <c r="B1299" s="298">
        <v>23.985041874</v>
      </c>
      <c r="C1299" s="280">
        <v>0</v>
      </c>
      <c r="E1299" s="280">
        <v>12</v>
      </c>
    </row>
    <row r="1300" spans="1:5" x14ac:dyDescent="0.2">
      <c r="A1300" s="228" t="s">
        <v>1513</v>
      </c>
      <c r="B1300" s="298">
        <v>24.985837</v>
      </c>
      <c r="C1300" s="280">
        <v>0</v>
      </c>
      <c r="E1300" s="280">
        <v>12</v>
      </c>
    </row>
    <row r="1301" spans="1:5" x14ac:dyDescent="0.2">
      <c r="A1301" s="228" t="s">
        <v>1514</v>
      </c>
      <c r="B1301" s="298">
        <v>25.982592999000001</v>
      </c>
      <c r="C1301" s="280">
        <v>0</v>
      </c>
      <c r="E1301" s="280">
        <v>12</v>
      </c>
    </row>
    <row r="1302" spans="1:5" x14ac:dyDescent="0.2">
      <c r="A1302" s="228" t="s">
        <v>1515</v>
      </c>
      <c r="B1302" s="298">
        <v>26.984340701000001</v>
      </c>
      <c r="C1302" s="280">
        <v>9.4499999999999993</v>
      </c>
      <c r="D1302" s="280" t="s">
        <v>218</v>
      </c>
      <c r="E1302" s="280">
        <v>12</v>
      </c>
    </row>
    <row r="1303" spans="1:5" x14ac:dyDescent="0.2">
      <c r="A1303" s="228" t="s">
        <v>1516</v>
      </c>
      <c r="B1303" s="298">
        <v>27.983876668000001</v>
      </c>
      <c r="C1303" s="280">
        <v>21</v>
      </c>
      <c r="D1303" s="280" t="s">
        <v>199</v>
      </c>
      <c r="E1303" s="280">
        <v>12</v>
      </c>
    </row>
    <row r="1304" spans="1:5" x14ac:dyDescent="0.2">
      <c r="A1304" s="228" t="s">
        <v>1517</v>
      </c>
      <c r="B1304" s="298">
        <v>28.988554702000002</v>
      </c>
      <c r="C1304" s="280">
        <v>1.3</v>
      </c>
      <c r="D1304" s="280" t="s">
        <v>168</v>
      </c>
      <c r="E1304" s="280">
        <v>12</v>
      </c>
    </row>
    <row r="1305" spans="1:5" x14ac:dyDescent="0.2">
      <c r="A1305" s="228" t="s">
        <v>1518</v>
      </c>
      <c r="B1305" s="298">
        <v>29.990464530000001</v>
      </c>
      <c r="E1305" s="280">
        <v>12</v>
      </c>
    </row>
    <row r="1306" spans="1:5" x14ac:dyDescent="0.2">
      <c r="A1306" s="228" t="s">
        <v>1519</v>
      </c>
      <c r="B1306" s="298">
        <v>30.996548459</v>
      </c>
      <c r="E1306" s="280">
        <v>12</v>
      </c>
    </row>
    <row r="1307" spans="1:5" x14ac:dyDescent="0.2">
      <c r="A1307" s="228" t="s">
        <v>1520</v>
      </c>
      <c r="B1307" s="298">
        <v>31.999145889000001</v>
      </c>
      <c r="E1307" s="280">
        <v>12</v>
      </c>
    </row>
    <row r="1308" spans="1:5" x14ac:dyDescent="0.2">
      <c r="A1308" s="228" t="s">
        <v>1521</v>
      </c>
      <c r="B1308" s="298">
        <v>33.005586975</v>
      </c>
      <c r="E1308" s="280">
        <v>12</v>
      </c>
    </row>
    <row r="1309" spans="1:5" x14ac:dyDescent="0.2">
      <c r="A1309" s="228" t="s">
        <v>1522</v>
      </c>
      <c r="B1309" s="298">
        <v>34.009072439999997</v>
      </c>
      <c r="E1309" s="280">
        <v>12</v>
      </c>
    </row>
    <row r="1310" spans="1:5" x14ac:dyDescent="0.2">
      <c r="A1310" s="228" t="s">
        <v>1523</v>
      </c>
      <c r="B1310" s="298">
        <v>35.017490000000002</v>
      </c>
      <c r="E1310" s="280">
        <v>12</v>
      </c>
    </row>
    <row r="1311" spans="1:5" x14ac:dyDescent="0.2">
      <c r="A1311" s="228" t="s">
        <v>1524</v>
      </c>
      <c r="B1311" s="298">
        <v>36.022449999999999</v>
      </c>
      <c r="E1311" s="280">
        <v>12</v>
      </c>
    </row>
    <row r="1312" spans="1:5" x14ac:dyDescent="0.2">
      <c r="A1312" s="287" t="s">
        <v>1525</v>
      </c>
      <c r="B1312" s="299">
        <v>54.938000000000002</v>
      </c>
      <c r="C1312" s="288">
        <v>0</v>
      </c>
      <c r="D1312" s="288">
        <v>0</v>
      </c>
      <c r="E1312" s="288">
        <v>25</v>
      </c>
    </row>
    <row r="1313" spans="1:5" x14ac:dyDescent="0.2">
      <c r="A1313" s="228" t="s">
        <v>1526</v>
      </c>
      <c r="B1313" s="298">
        <v>44.006869999999999</v>
      </c>
      <c r="E1313" s="280">
        <v>25</v>
      </c>
    </row>
    <row r="1314" spans="1:5" x14ac:dyDescent="0.2">
      <c r="A1314" s="228" t="s">
        <v>1527</v>
      </c>
      <c r="B1314" s="298">
        <v>44.994509999999998</v>
      </c>
      <c r="E1314" s="280">
        <v>25</v>
      </c>
    </row>
    <row r="1315" spans="1:5" x14ac:dyDescent="0.2">
      <c r="A1315" s="228" t="s">
        <v>1528</v>
      </c>
      <c r="B1315" s="298">
        <v>45.986719999999998</v>
      </c>
      <c r="E1315" s="280">
        <v>25</v>
      </c>
    </row>
    <row r="1316" spans="1:5" x14ac:dyDescent="0.2">
      <c r="A1316" s="228" t="s">
        <v>1529</v>
      </c>
      <c r="B1316" s="298">
        <v>46.976100000000002</v>
      </c>
      <c r="E1316" s="280">
        <v>25</v>
      </c>
    </row>
    <row r="1317" spans="1:5" x14ac:dyDescent="0.2">
      <c r="A1317" s="228" t="s">
        <v>1530</v>
      </c>
      <c r="B1317" s="298">
        <v>47.968559999999997</v>
      </c>
      <c r="E1317" s="280">
        <v>25</v>
      </c>
    </row>
    <row r="1318" spans="1:5" x14ac:dyDescent="0.2">
      <c r="A1318" s="228" t="s">
        <v>1531</v>
      </c>
      <c r="B1318" s="298">
        <v>48.959623266999998</v>
      </c>
      <c r="E1318" s="280">
        <v>25</v>
      </c>
    </row>
    <row r="1319" spans="1:5" x14ac:dyDescent="0.2">
      <c r="A1319" s="228" t="s">
        <v>1532</v>
      </c>
      <c r="B1319" s="298">
        <v>49.954243792</v>
      </c>
      <c r="E1319" s="280">
        <v>25</v>
      </c>
    </row>
    <row r="1320" spans="1:5" x14ac:dyDescent="0.2">
      <c r="A1320" s="228" t="s">
        <v>1533</v>
      </c>
      <c r="B1320" s="298">
        <v>50.948215355000002</v>
      </c>
      <c r="E1320" s="280">
        <v>25</v>
      </c>
    </row>
    <row r="1321" spans="1:5" x14ac:dyDescent="0.2">
      <c r="A1321" s="228" t="s">
        <v>1534</v>
      </c>
      <c r="B1321" s="298">
        <v>51.945569929999998</v>
      </c>
      <c r="C1321" s="280">
        <v>5.5910000000000002</v>
      </c>
      <c r="D1321" s="280" t="s">
        <v>192</v>
      </c>
      <c r="E1321" s="280">
        <v>25</v>
      </c>
    </row>
    <row r="1322" spans="1:5" x14ac:dyDescent="0.2">
      <c r="A1322" s="228" t="s">
        <v>1535</v>
      </c>
      <c r="B1322" s="298">
        <v>52.941294339000002</v>
      </c>
      <c r="C1322" s="282">
        <v>3700000</v>
      </c>
      <c r="D1322" s="280" t="s">
        <v>249</v>
      </c>
      <c r="E1322" s="280">
        <v>25</v>
      </c>
    </row>
    <row r="1323" spans="1:5" x14ac:dyDescent="0.2">
      <c r="A1323" s="228" t="s">
        <v>1536</v>
      </c>
      <c r="B1323" s="298">
        <v>53.940362884999999</v>
      </c>
      <c r="C1323" s="280">
        <v>312.2</v>
      </c>
      <c r="D1323" s="280" t="s">
        <v>192</v>
      </c>
      <c r="E1323" s="280">
        <v>25</v>
      </c>
    </row>
    <row r="1324" spans="1:5" x14ac:dyDescent="0.2">
      <c r="A1324" s="228" t="s">
        <v>1537</v>
      </c>
      <c r="B1324" s="298">
        <v>54.938049268</v>
      </c>
      <c r="C1324" s="280">
        <v>0</v>
      </c>
      <c r="E1324" s="280">
        <v>25</v>
      </c>
    </row>
    <row r="1325" spans="1:5" x14ac:dyDescent="0.2">
      <c r="A1325" s="228" t="s">
        <v>1538</v>
      </c>
      <c r="B1325" s="298">
        <v>55.938908998000002</v>
      </c>
      <c r="C1325" s="280">
        <v>2.5779999999999998</v>
      </c>
      <c r="D1325" s="280" t="s">
        <v>199</v>
      </c>
      <c r="E1325" s="280">
        <v>25</v>
      </c>
    </row>
    <row r="1326" spans="1:5" x14ac:dyDescent="0.2">
      <c r="A1326" s="228" t="s">
        <v>1539</v>
      </c>
      <c r="B1326" s="298">
        <v>56.938287090000003</v>
      </c>
      <c r="C1326" s="280">
        <v>1.45</v>
      </c>
      <c r="D1326" s="280" t="s">
        <v>218</v>
      </c>
      <c r="E1326" s="280">
        <v>25</v>
      </c>
    </row>
    <row r="1327" spans="1:5" x14ac:dyDescent="0.2">
      <c r="A1327" s="228" t="s">
        <v>1540</v>
      </c>
      <c r="B1327" s="298">
        <v>57.939986327</v>
      </c>
      <c r="E1327" s="280">
        <v>25</v>
      </c>
    </row>
    <row r="1328" spans="1:5" x14ac:dyDescent="0.2">
      <c r="A1328" s="228" t="s">
        <v>1541</v>
      </c>
      <c r="B1328" s="298">
        <v>58.940446805999997</v>
      </c>
      <c r="E1328" s="280">
        <v>25</v>
      </c>
    </row>
    <row r="1329" spans="1:5" x14ac:dyDescent="0.2">
      <c r="A1329" s="228" t="s">
        <v>1542</v>
      </c>
      <c r="B1329" s="298">
        <v>59.94334388</v>
      </c>
      <c r="E1329" s="280">
        <v>25</v>
      </c>
    </row>
    <row r="1330" spans="1:5" x14ac:dyDescent="0.2">
      <c r="A1330" s="228" t="s">
        <v>1543</v>
      </c>
      <c r="B1330" s="298">
        <v>60.944636912</v>
      </c>
      <c r="E1330" s="280">
        <v>25</v>
      </c>
    </row>
    <row r="1331" spans="1:5" x14ac:dyDescent="0.2">
      <c r="A1331" s="228" t="s">
        <v>1544</v>
      </c>
      <c r="B1331" s="298">
        <v>61.947969999999998</v>
      </c>
      <c r="E1331" s="280">
        <v>25</v>
      </c>
    </row>
    <row r="1332" spans="1:5" x14ac:dyDescent="0.2">
      <c r="A1332" s="228" t="s">
        <v>1545</v>
      </c>
      <c r="B1332" s="298">
        <v>62.949809999999999</v>
      </c>
      <c r="E1332" s="280">
        <v>25</v>
      </c>
    </row>
    <row r="1333" spans="1:5" x14ac:dyDescent="0.2">
      <c r="A1333" s="228" t="s">
        <v>1546</v>
      </c>
      <c r="B1333" s="298">
        <v>63.95373</v>
      </c>
      <c r="E1333" s="280">
        <v>25</v>
      </c>
    </row>
    <row r="1334" spans="1:5" x14ac:dyDescent="0.2">
      <c r="A1334" s="228" t="s">
        <v>1547</v>
      </c>
      <c r="B1334" s="298">
        <v>64.956100000000006</v>
      </c>
      <c r="E1334" s="280">
        <v>25</v>
      </c>
    </row>
    <row r="1335" spans="1:5" x14ac:dyDescent="0.2">
      <c r="A1335" s="287" t="s">
        <v>1548</v>
      </c>
      <c r="B1335" s="299">
        <v>95.94</v>
      </c>
      <c r="C1335" s="288">
        <v>0</v>
      </c>
      <c r="D1335" s="288">
        <v>0</v>
      </c>
      <c r="E1335" s="288">
        <v>42</v>
      </c>
    </row>
    <row r="1336" spans="1:5" x14ac:dyDescent="0.2">
      <c r="A1336" s="228" t="s">
        <v>1549</v>
      </c>
      <c r="B1336" s="298">
        <v>99.907476485999993</v>
      </c>
      <c r="E1336" s="280">
        <v>42</v>
      </c>
    </row>
    <row r="1337" spans="1:5" x14ac:dyDescent="0.2">
      <c r="A1337" s="228" t="s">
        <v>1550</v>
      </c>
      <c r="B1337" s="298">
        <v>100.910345881</v>
      </c>
      <c r="E1337" s="280">
        <v>42</v>
      </c>
    </row>
    <row r="1338" spans="1:5" x14ac:dyDescent="0.2">
      <c r="A1338" s="228" t="s">
        <v>1551</v>
      </c>
      <c r="B1338" s="298">
        <v>101.9102965</v>
      </c>
      <c r="E1338" s="280">
        <v>42</v>
      </c>
    </row>
    <row r="1339" spans="1:5" x14ac:dyDescent="0.2">
      <c r="A1339" s="228" t="s">
        <v>1552</v>
      </c>
      <c r="B1339" s="298">
        <v>102.913203956</v>
      </c>
      <c r="E1339" s="280">
        <v>42</v>
      </c>
    </row>
    <row r="1340" spans="1:5" x14ac:dyDescent="0.2">
      <c r="A1340" s="228" t="s">
        <v>1553</v>
      </c>
      <c r="B1340" s="298">
        <v>103.913757746</v>
      </c>
      <c r="E1340" s="280">
        <v>42</v>
      </c>
    </row>
    <row r="1341" spans="1:5" x14ac:dyDescent="0.2">
      <c r="A1341" s="228" t="s">
        <v>1554</v>
      </c>
      <c r="B1341" s="298">
        <v>104.91697144699999</v>
      </c>
      <c r="E1341" s="280">
        <v>42</v>
      </c>
    </row>
    <row r="1342" spans="1:5" x14ac:dyDescent="0.2">
      <c r="A1342" s="228" t="s">
        <v>1555</v>
      </c>
      <c r="B1342" s="298">
        <v>105.91813472299999</v>
      </c>
      <c r="E1342" s="280">
        <v>42</v>
      </c>
    </row>
    <row r="1343" spans="1:5" x14ac:dyDescent="0.2">
      <c r="A1343" s="228" t="s">
        <v>1556</v>
      </c>
      <c r="B1343" s="298">
        <v>106.92169504899999</v>
      </c>
      <c r="E1343" s="280">
        <v>42</v>
      </c>
    </row>
    <row r="1344" spans="1:5" x14ac:dyDescent="0.2">
      <c r="A1344" s="228" t="s">
        <v>1557</v>
      </c>
      <c r="B1344" s="298">
        <v>107.923456</v>
      </c>
      <c r="E1344" s="280">
        <v>42</v>
      </c>
    </row>
    <row r="1345" spans="1:5" x14ac:dyDescent="0.2">
      <c r="A1345" s="228" t="s">
        <v>1558</v>
      </c>
      <c r="B1345" s="298">
        <v>108.92769</v>
      </c>
      <c r="E1345" s="280">
        <v>42</v>
      </c>
    </row>
    <row r="1346" spans="1:5" x14ac:dyDescent="0.2">
      <c r="A1346" s="228" t="s">
        <v>1559</v>
      </c>
      <c r="B1346" s="298">
        <v>109.9295</v>
      </c>
      <c r="E1346" s="280">
        <v>42</v>
      </c>
    </row>
    <row r="1347" spans="1:5" x14ac:dyDescent="0.2">
      <c r="A1347" s="228" t="s">
        <v>1560</v>
      </c>
      <c r="B1347" s="298">
        <v>83.940089999999998</v>
      </c>
      <c r="E1347" s="280">
        <v>42</v>
      </c>
    </row>
    <row r="1348" spans="1:5" x14ac:dyDescent="0.2">
      <c r="A1348" s="228" t="s">
        <v>1561</v>
      </c>
      <c r="B1348" s="298">
        <v>84.936589999999995</v>
      </c>
      <c r="E1348" s="280">
        <v>42</v>
      </c>
    </row>
    <row r="1349" spans="1:5" x14ac:dyDescent="0.2">
      <c r="A1349" s="228" t="s">
        <v>1562</v>
      </c>
      <c r="B1349" s="298">
        <v>85.930199999999999</v>
      </c>
      <c r="E1349" s="280">
        <v>42</v>
      </c>
    </row>
    <row r="1350" spans="1:5" x14ac:dyDescent="0.2">
      <c r="A1350" s="228" t="s">
        <v>1563</v>
      </c>
      <c r="B1350" s="298">
        <v>86.927327566000002</v>
      </c>
      <c r="E1350" s="280">
        <v>42</v>
      </c>
    </row>
    <row r="1351" spans="1:5" x14ac:dyDescent="0.2">
      <c r="A1351" s="228" t="s">
        <v>1564</v>
      </c>
      <c r="B1351" s="298">
        <v>87.921951781000004</v>
      </c>
      <c r="E1351" s="280">
        <v>42</v>
      </c>
    </row>
    <row r="1352" spans="1:5" x14ac:dyDescent="0.2">
      <c r="A1352" s="228" t="s">
        <v>1565</v>
      </c>
      <c r="B1352" s="298">
        <v>88.919479615</v>
      </c>
      <c r="E1352" s="280">
        <v>42</v>
      </c>
    </row>
    <row r="1353" spans="1:5" x14ac:dyDescent="0.2">
      <c r="A1353" s="228" t="s">
        <v>1566</v>
      </c>
      <c r="B1353" s="298">
        <v>89.913934694000005</v>
      </c>
      <c r="E1353" s="280">
        <v>42</v>
      </c>
    </row>
    <row r="1354" spans="1:5" x14ac:dyDescent="0.2">
      <c r="A1354" s="228" t="s">
        <v>1567</v>
      </c>
      <c r="B1354" s="298">
        <v>90.911748837999994</v>
      </c>
      <c r="E1354" s="280">
        <v>42</v>
      </c>
    </row>
    <row r="1355" spans="1:5" x14ac:dyDescent="0.2">
      <c r="A1355" s="228" t="s">
        <v>1568</v>
      </c>
      <c r="B1355" s="298">
        <v>91.906809533000001</v>
      </c>
      <c r="E1355" s="280">
        <v>42</v>
      </c>
    </row>
    <row r="1356" spans="1:5" x14ac:dyDescent="0.2">
      <c r="A1356" s="228" t="s">
        <v>1569</v>
      </c>
      <c r="B1356" s="298">
        <v>92.906811266000005</v>
      </c>
      <c r="E1356" s="280">
        <v>42</v>
      </c>
    </row>
    <row r="1357" spans="1:5" x14ac:dyDescent="0.2">
      <c r="A1357" s="228" t="s">
        <v>1570</v>
      </c>
      <c r="B1357" s="298">
        <v>93.905086650000001</v>
      </c>
      <c r="E1357" s="280">
        <v>42</v>
      </c>
    </row>
    <row r="1358" spans="1:5" x14ac:dyDescent="0.2">
      <c r="A1358" s="228" t="s">
        <v>1571</v>
      </c>
      <c r="B1358" s="298">
        <v>94.905840560000001</v>
      </c>
      <c r="E1358" s="280">
        <v>42</v>
      </c>
    </row>
    <row r="1359" spans="1:5" x14ac:dyDescent="0.2">
      <c r="A1359" s="228" t="s">
        <v>1572</v>
      </c>
      <c r="B1359" s="298">
        <v>95.904677977999995</v>
      </c>
      <c r="E1359" s="280">
        <v>42</v>
      </c>
    </row>
    <row r="1360" spans="1:5" x14ac:dyDescent="0.2">
      <c r="A1360" s="228" t="s">
        <v>1573</v>
      </c>
      <c r="B1360" s="298">
        <v>96.90602011</v>
      </c>
      <c r="E1360" s="280">
        <v>42</v>
      </c>
    </row>
    <row r="1361" spans="1:5" x14ac:dyDescent="0.2">
      <c r="A1361" s="228" t="s">
        <v>1574</v>
      </c>
      <c r="B1361" s="298">
        <v>97.905406924000005</v>
      </c>
      <c r="E1361" s="280">
        <v>42</v>
      </c>
    </row>
    <row r="1362" spans="1:5" x14ac:dyDescent="0.2">
      <c r="A1362" s="228" t="s">
        <v>1575</v>
      </c>
      <c r="B1362" s="298">
        <v>98.907710676999997</v>
      </c>
      <c r="C1362" s="280">
        <v>2.7475999999999998</v>
      </c>
      <c r="D1362" s="280" t="s">
        <v>192</v>
      </c>
      <c r="E1362" s="280">
        <v>42</v>
      </c>
    </row>
    <row r="1363" spans="1:5" x14ac:dyDescent="0.2">
      <c r="A1363" s="228" t="s">
        <v>1576</v>
      </c>
      <c r="B1363" s="298">
        <v>266.137832</v>
      </c>
      <c r="E1363" s="280">
        <v>109</v>
      </c>
    </row>
    <row r="1364" spans="1:5" x14ac:dyDescent="0.2">
      <c r="A1364" s="228" t="s">
        <v>1578</v>
      </c>
      <c r="B1364" s="298">
        <v>1.0086649240000001</v>
      </c>
      <c r="C1364" s="280">
        <v>10.4</v>
      </c>
      <c r="D1364" s="280" t="s">
        <v>218</v>
      </c>
      <c r="E1364" s="280">
        <v>0</v>
      </c>
    </row>
    <row r="1365" spans="1:5" x14ac:dyDescent="0.2">
      <c r="A1365" s="287" t="s">
        <v>1577</v>
      </c>
      <c r="B1365" s="299">
        <v>14.0067</v>
      </c>
      <c r="C1365" s="288">
        <v>0</v>
      </c>
      <c r="D1365" s="288">
        <v>0</v>
      </c>
      <c r="E1365" s="288">
        <v>7</v>
      </c>
    </row>
    <row r="1366" spans="1:5" x14ac:dyDescent="0.2">
      <c r="A1366" s="228" t="s">
        <v>1579</v>
      </c>
      <c r="B1366" s="298">
        <v>10.042617999999999</v>
      </c>
      <c r="E1366" s="280">
        <v>7</v>
      </c>
    </row>
    <row r="1367" spans="1:5" x14ac:dyDescent="0.2">
      <c r="A1367" s="228" t="s">
        <v>1580</v>
      </c>
      <c r="B1367" s="298">
        <v>11.026796228</v>
      </c>
      <c r="E1367" s="280">
        <v>7</v>
      </c>
    </row>
    <row r="1368" spans="1:5" x14ac:dyDescent="0.2">
      <c r="A1368" s="228" t="s">
        <v>1581</v>
      </c>
      <c r="B1368" s="298">
        <v>12.018613213</v>
      </c>
      <c r="C1368" s="280">
        <v>11</v>
      </c>
      <c r="D1368" s="280" t="s">
        <v>184</v>
      </c>
      <c r="E1368" s="280">
        <v>7</v>
      </c>
    </row>
    <row r="1369" spans="1:5" x14ac:dyDescent="0.2">
      <c r="A1369" s="228" t="s">
        <v>1582</v>
      </c>
      <c r="B1369" s="298">
        <v>13.005738583999999</v>
      </c>
      <c r="C1369" s="280">
        <v>9.9700000000000006</v>
      </c>
      <c r="D1369" s="280" t="s">
        <v>218</v>
      </c>
      <c r="E1369" s="280">
        <v>7</v>
      </c>
    </row>
    <row r="1370" spans="1:5" x14ac:dyDescent="0.2">
      <c r="A1370" s="228" t="s">
        <v>1583</v>
      </c>
      <c r="B1370" s="298">
        <v>14.003074007</v>
      </c>
      <c r="C1370" s="280">
        <v>0</v>
      </c>
      <c r="E1370" s="280">
        <v>7</v>
      </c>
    </row>
    <row r="1371" spans="1:5" x14ac:dyDescent="0.2">
      <c r="A1371" s="228" t="s">
        <v>1584</v>
      </c>
      <c r="B1371" s="298">
        <v>15.000108973</v>
      </c>
      <c r="C1371" s="280">
        <v>0</v>
      </c>
      <c r="E1371" s="280">
        <v>7</v>
      </c>
    </row>
    <row r="1372" spans="1:5" x14ac:dyDescent="0.2">
      <c r="A1372" s="228" t="s">
        <v>1585</v>
      </c>
      <c r="B1372" s="298">
        <v>16.006099906999999</v>
      </c>
      <c r="C1372" s="280">
        <v>7.13</v>
      </c>
      <c r="D1372" s="280" t="s">
        <v>168</v>
      </c>
      <c r="E1372" s="280">
        <v>7</v>
      </c>
    </row>
    <row r="1373" spans="1:5" x14ac:dyDescent="0.2">
      <c r="A1373" s="228" t="s">
        <v>1586</v>
      </c>
      <c r="B1373" s="298">
        <v>17.008449667000001</v>
      </c>
      <c r="C1373" s="280">
        <v>4.17</v>
      </c>
      <c r="D1373" s="280" t="s">
        <v>168</v>
      </c>
      <c r="E1373" s="280">
        <v>7</v>
      </c>
    </row>
    <row r="1374" spans="1:5" x14ac:dyDescent="0.2">
      <c r="A1374" s="228" t="s">
        <v>1587</v>
      </c>
      <c r="B1374" s="298">
        <v>18.014081821000001</v>
      </c>
      <c r="E1374" s="280">
        <v>7</v>
      </c>
    </row>
    <row r="1375" spans="1:5" x14ac:dyDescent="0.2">
      <c r="A1375" s="228" t="s">
        <v>1588</v>
      </c>
      <c r="B1375" s="298">
        <v>19.01702689</v>
      </c>
      <c r="E1375" s="280">
        <v>7</v>
      </c>
    </row>
    <row r="1376" spans="1:5" x14ac:dyDescent="0.2">
      <c r="A1376" s="228" t="s">
        <v>1589</v>
      </c>
      <c r="B1376" s="298">
        <v>20.023367295</v>
      </c>
      <c r="E1376" s="280">
        <v>7</v>
      </c>
    </row>
    <row r="1377" spans="1:5" x14ac:dyDescent="0.2">
      <c r="A1377" s="228" t="s">
        <v>1590</v>
      </c>
      <c r="B1377" s="298">
        <v>21.027087573999999</v>
      </c>
      <c r="E1377" s="280">
        <v>7</v>
      </c>
    </row>
    <row r="1378" spans="1:5" x14ac:dyDescent="0.2">
      <c r="A1378" s="228" t="s">
        <v>1591</v>
      </c>
      <c r="B1378" s="298">
        <v>22.034440259</v>
      </c>
      <c r="E1378" s="280">
        <v>7</v>
      </c>
    </row>
    <row r="1379" spans="1:5" x14ac:dyDescent="0.2">
      <c r="A1379" s="228" t="s">
        <v>1592</v>
      </c>
      <c r="B1379" s="298">
        <v>23.040510000000001</v>
      </c>
      <c r="E1379" s="280">
        <v>7</v>
      </c>
    </row>
    <row r="1380" spans="1:5" x14ac:dyDescent="0.2">
      <c r="A1380" s="228" t="s">
        <v>1593</v>
      </c>
      <c r="B1380" s="298">
        <v>24.0505</v>
      </c>
      <c r="E1380" s="280">
        <v>7</v>
      </c>
    </row>
    <row r="1381" spans="1:5" x14ac:dyDescent="0.2">
      <c r="A1381" s="287" t="s">
        <v>1594</v>
      </c>
      <c r="B1381" s="299">
        <v>22.98977</v>
      </c>
      <c r="C1381" s="288">
        <v>0</v>
      </c>
      <c r="D1381" s="288">
        <v>0</v>
      </c>
      <c r="E1381" s="288">
        <v>11</v>
      </c>
    </row>
    <row r="1382" spans="1:5" x14ac:dyDescent="0.2">
      <c r="A1382" s="228" t="s">
        <v>1595</v>
      </c>
      <c r="B1382" s="298">
        <v>17.037759999999999</v>
      </c>
      <c r="E1382" s="280">
        <v>11</v>
      </c>
    </row>
    <row r="1383" spans="1:5" x14ac:dyDescent="0.2">
      <c r="A1383" s="228" t="s">
        <v>1596</v>
      </c>
      <c r="B1383" s="298">
        <v>18.027180000000001</v>
      </c>
      <c r="E1383" s="280">
        <v>11</v>
      </c>
    </row>
    <row r="1384" spans="1:5" x14ac:dyDescent="0.2">
      <c r="A1384" s="228" t="s">
        <v>1597</v>
      </c>
      <c r="B1384" s="298">
        <v>19.013879425999999</v>
      </c>
      <c r="E1384" s="280">
        <v>11</v>
      </c>
    </row>
    <row r="1385" spans="1:5" x14ac:dyDescent="0.2">
      <c r="A1385" s="228" t="s">
        <v>1598</v>
      </c>
      <c r="B1385" s="298">
        <v>20.007348260000001</v>
      </c>
      <c r="E1385" s="280">
        <v>11</v>
      </c>
    </row>
    <row r="1386" spans="1:5" x14ac:dyDescent="0.2">
      <c r="A1386" s="228" t="s">
        <v>1599</v>
      </c>
      <c r="B1386" s="298">
        <v>20.997655099999999</v>
      </c>
      <c r="C1386" s="280">
        <v>22.48</v>
      </c>
      <c r="D1386" s="280" t="s">
        <v>168</v>
      </c>
      <c r="E1386" s="280">
        <v>11</v>
      </c>
    </row>
    <row r="1387" spans="1:5" x14ac:dyDescent="0.2">
      <c r="A1387" s="228" t="s">
        <v>1600</v>
      </c>
      <c r="B1387" s="298">
        <v>21.994436632999999</v>
      </c>
      <c r="C1387" s="280">
        <v>2.605</v>
      </c>
      <c r="D1387" s="280" t="s">
        <v>249</v>
      </c>
      <c r="E1387" s="280">
        <v>11</v>
      </c>
    </row>
    <row r="1388" spans="1:5" x14ac:dyDescent="0.2">
      <c r="A1388" s="228" t="s">
        <v>1601</v>
      </c>
      <c r="B1388" s="298">
        <v>22.989769657</v>
      </c>
      <c r="C1388" s="280">
        <v>0</v>
      </c>
      <c r="E1388" s="280">
        <v>11</v>
      </c>
    </row>
    <row r="1389" spans="1:5" x14ac:dyDescent="0.2">
      <c r="A1389" s="228" t="s">
        <v>1602</v>
      </c>
      <c r="B1389" s="298">
        <v>23.990963314999998</v>
      </c>
      <c r="C1389" s="280">
        <v>14.96</v>
      </c>
      <c r="D1389" s="280" t="s">
        <v>199</v>
      </c>
      <c r="E1389" s="280">
        <v>11</v>
      </c>
    </row>
    <row r="1390" spans="1:5" x14ac:dyDescent="0.2">
      <c r="A1390" s="228" t="s">
        <v>1603</v>
      </c>
      <c r="B1390" s="298">
        <v>24.989954335</v>
      </c>
      <c r="C1390" s="280">
        <v>60</v>
      </c>
      <c r="D1390" s="280" t="s">
        <v>168</v>
      </c>
      <c r="E1390" s="280">
        <v>11</v>
      </c>
    </row>
    <row r="1391" spans="1:5" x14ac:dyDescent="0.2">
      <c r="A1391" s="228" t="s">
        <v>1604</v>
      </c>
      <c r="B1391" s="298">
        <v>25.992589879000001</v>
      </c>
      <c r="E1391" s="280">
        <v>11</v>
      </c>
    </row>
    <row r="1392" spans="1:5" x14ac:dyDescent="0.2">
      <c r="A1392" s="228" t="s">
        <v>1605</v>
      </c>
      <c r="B1392" s="298">
        <v>26.994008662999999</v>
      </c>
      <c r="E1392" s="280">
        <v>11</v>
      </c>
    </row>
    <row r="1393" spans="1:5" x14ac:dyDescent="0.2">
      <c r="A1393" s="228" t="s">
        <v>1606</v>
      </c>
      <c r="B1393" s="298">
        <v>27.998890428999999</v>
      </c>
      <c r="E1393" s="280">
        <v>11</v>
      </c>
    </row>
    <row r="1394" spans="1:5" x14ac:dyDescent="0.2">
      <c r="A1394" s="228" t="s">
        <v>1607</v>
      </c>
      <c r="B1394" s="298">
        <v>29.002811363999999</v>
      </c>
      <c r="E1394" s="280">
        <v>11</v>
      </c>
    </row>
    <row r="1395" spans="1:5" x14ac:dyDescent="0.2">
      <c r="A1395" s="228" t="s">
        <v>1608</v>
      </c>
      <c r="B1395" s="298">
        <v>30.009226506000001</v>
      </c>
      <c r="E1395" s="280">
        <v>11</v>
      </c>
    </row>
    <row r="1396" spans="1:5" x14ac:dyDescent="0.2">
      <c r="A1396" s="228" t="s">
        <v>1609</v>
      </c>
      <c r="B1396" s="298">
        <v>31.013595108000001</v>
      </c>
      <c r="E1396" s="280">
        <v>11</v>
      </c>
    </row>
    <row r="1397" spans="1:5" x14ac:dyDescent="0.2">
      <c r="A1397" s="228" t="s">
        <v>1610</v>
      </c>
      <c r="B1397" s="298">
        <v>32.019649792000003</v>
      </c>
      <c r="E1397" s="280">
        <v>11</v>
      </c>
    </row>
    <row r="1398" spans="1:5" x14ac:dyDescent="0.2">
      <c r="A1398" s="228" t="s">
        <v>1611</v>
      </c>
      <c r="B1398" s="298">
        <v>33.027386</v>
      </c>
      <c r="E1398" s="280">
        <v>11</v>
      </c>
    </row>
    <row r="1399" spans="1:5" x14ac:dyDescent="0.2">
      <c r="A1399" s="228" t="s">
        <v>1612</v>
      </c>
      <c r="B1399" s="298">
        <v>34.0349</v>
      </c>
      <c r="E1399" s="280">
        <v>11</v>
      </c>
    </row>
    <row r="1400" spans="1:5" x14ac:dyDescent="0.2">
      <c r="A1400" s="228" t="s">
        <v>1613</v>
      </c>
      <c r="B1400" s="298">
        <v>35.044179999999997</v>
      </c>
      <c r="E1400" s="280">
        <v>11</v>
      </c>
    </row>
    <row r="1401" spans="1:5" x14ac:dyDescent="0.2">
      <c r="A1401" s="287" t="s">
        <v>1614</v>
      </c>
      <c r="B1401" s="299">
        <v>92.906400000000005</v>
      </c>
      <c r="C1401" s="288">
        <v>0</v>
      </c>
      <c r="D1401" s="288">
        <v>0</v>
      </c>
      <c r="E1401" s="288">
        <v>41</v>
      </c>
    </row>
    <row r="1402" spans="1:5" x14ac:dyDescent="0.2">
      <c r="A1402" s="228" t="s">
        <v>1615</v>
      </c>
      <c r="B1402" s="298">
        <v>99.914180771000005</v>
      </c>
      <c r="E1402" s="280">
        <v>41</v>
      </c>
    </row>
    <row r="1403" spans="1:5" x14ac:dyDescent="0.2">
      <c r="A1403" s="228" t="s">
        <v>1616</v>
      </c>
      <c r="B1403" s="298">
        <v>100.91525090499999</v>
      </c>
      <c r="E1403" s="280">
        <v>41</v>
      </c>
    </row>
    <row r="1404" spans="1:5" x14ac:dyDescent="0.2">
      <c r="A1404" s="228" t="s">
        <v>1617</v>
      </c>
      <c r="B1404" s="298">
        <v>101.918036755</v>
      </c>
      <c r="E1404" s="280">
        <v>41</v>
      </c>
    </row>
    <row r="1405" spans="1:5" x14ac:dyDescent="0.2">
      <c r="A1405" s="228" t="s">
        <v>1618</v>
      </c>
      <c r="B1405" s="298">
        <v>102.919140656</v>
      </c>
      <c r="E1405" s="280">
        <v>41</v>
      </c>
    </row>
    <row r="1406" spans="1:5" x14ac:dyDescent="0.2">
      <c r="A1406" s="228" t="s">
        <v>1619</v>
      </c>
      <c r="B1406" s="298">
        <v>103.922458823</v>
      </c>
      <c r="E1406" s="280">
        <v>41</v>
      </c>
    </row>
    <row r="1407" spans="1:5" x14ac:dyDescent="0.2">
      <c r="A1407" s="228" t="s">
        <v>1620</v>
      </c>
      <c r="B1407" s="298">
        <v>104.923933382</v>
      </c>
      <c r="E1407" s="280">
        <v>41</v>
      </c>
    </row>
    <row r="1408" spans="1:5" x14ac:dyDescent="0.2">
      <c r="A1408" s="228" t="s">
        <v>1621</v>
      </c>
      <c r="B1408" s="298">
        <v>105.92809</v>
      </c>
      <c r="E1408" s="280">
        <v>41</v>
      </c>
    </row>
    <row r="1409" spans="1:5" x14ac:dyDescent="0.2">
      <c r="A1409" s="228" t="s">
        <v>1622</v>
      </c>
      <c r="B1409" s="298">
        <v>106.93018000000001</v>
      </c>
      <c r="E1409" s="280">
        <v>41</v>
      </c>
    </row>
    <row r="1410" spans="1:5" x14ac:dyDescent="0.2">
      <c r="A1410" s="228" t="s">
        <v>1623</v>
      </c>
      <c r="B1410" s="298">
        <v>107.93452000000001</v>
      </c>
      <c r="E1410" s="280">
        <v>41</v>
      </c>
    </row>
    <row r="1411" spans="1:5" x14ac:dyDescent="0.2">
      <c r="A1411" s="228" t="s">
        <v>1624</v>
      </c>
      <c r="B1411" s="298">
        <v>81.943129999999996</v>
      </c>
      <c r="E1411" s="280">
        <v>41</v>
      </c>
    </row>
    <row r="1412" spans="1:5" x14ac:dyDescent="0.2">
      <c r="A1412" s="228" t="s">
        <v>1625</v>
      </c>
      <c r="B1412" s="298">
        <v>82.936702522999994</v>
      </c>
      <c r="E1412" s="280">
        <v>41</v>
      </c>
    </row>
    <row r="1413" spans="1:5" x14ac:dyDescent="0.2">
      <c r="A1413" s="228" t="s">
        <v>1626</v>
      </c>
      <c r="B1413" s="298">
        <v>83.933570000000003</v>
      </c>
      <c r="E1413" s="280">
        <v>41</v>
      </c>
    </row>
    <row r="1414" spans="1:5" x14ac:dyDescent="0.2">
      <c r="A1414" s="228" t="s">
        <v>1627</v>
      </c>
      <c r="B1414" s="298">
        <v>84.927908930000001</v>
      </c>
      <c r="E1414" s="280">
        <v>41</v>
      </c>
    </row>
    <row r="1415" spans="1:5" x14ac:dyDescent="0.2">
      <c r="A1415" s="228" t="s">
        <v>1628</v>
      </c>
      <c r="B1415" s="298">
        <v>85.925036120000001</v>
      </c>
      <c r="E1415" s="280">
        <v>41</v>
      </c>
    </row>
    <row r="1416" spans="1:5" x14ac:dyDescent="0.2">
      <c r="A1416" s="228" t="s">
        <v>1629</v>
      </c>
      <c r="B1416" s="298">
        <v>86.920364261000003</v>
      </c>
      <c r="E1416" s="280">
        <v>41</v>
      </c>
    </row>
    <row r="1417" spans="1:5" x14ac:dyDescent="0.2">
      <c r="A1417" s="228" t="s">
        <v>1630</v>
      </c>
      <c r="B1417" s="298">
        <v>87.917953999999995</v>
      </c>
      <c r="E1417" s="280">
        <v>41</v>
      </c>
    </row>
    <row r="1418" spans="1:5" x14ac:dyDescent="0.2">
      <c r="A1418" s="228" t="s">
        <v>1631</v>
      </c>
      <c r="B1418" s="298">
        <v>88.913494556000003</v>
      </c>
      <c r="E1418" s="280">
        <v>41</v>
      </c>
    </row>
    <row r="1419" spans="1:5" x14ac:dyDescent="0.2">
      <c r="A1419" s="228" t="s">
        <v>1632</v>
      </c>
      <c r="B1419" s="298">
        <v>89.911262641999997</v>
      </c>
      <c r="E1419" s="280">
        <v>41</v>
      </c>
    </row>
    <row r="1420" spans="1:5" x14ac:dyDescent="0.2">
      <c r="A1420" s="228" t="s">
        <v>1633</v>
      </c>
      <c r="B1420" s="298">
        <v>90.906988995999995</v>
      </c>
      <c r="E1420" s="280">
        <v>41</v>
      </c>
    </row>
    <row r="1421" spans="1:5" x14ac:dyDescent="0.2">
      <c r="A1421" s="228" t="s">
        <v>1634</v>
      </c>
      <c r="B1421" s="298">
        <v>91.907191744000002</v>
      </c>
      <c r="E1421" s="280">
        <v>41</v>
      </c>
    </row>
    <row r="1422" spans="1:5" x14ac:dyDescent="0.2">
      <c r="A1422" s="228" t="s">
        <v>1635</v>
      </c>
      <c r="B1422" s="298">
        <v>92.906376248000001</v>
      </c>
      <c r="E1422" s="280">
        <v>41</v>
      </c>
    </row>
    <row r="1423" spans="1:5" x14ac:dyDescent="0.2">
      <c r="A1423" s="228" t="s">
        <v>1636</v>
      </c>
      <c r="B1423" s="298">
        <v>93.907282163000005</v>
      </c>
      <c r="E1423" s="280">
        <v>41</v>
      </c>
    </row>
    <row r="1424" spans="1:5" x14ac:dyDescent="0.2">
      <c r="A1424" s="228" t="s">
        <v>1637</v>
      </c>
      <c r="B1424" s="298">
        <v>94.906834234000002</v>
      </c>
      <c r="E1424" s="280">
        <v>41</v>
      </c>
    </row>
    <row r="1425" spans="1:5" x14ac:dyDescent="0.2">
      <c r="A1425" s="228" t="s">
        <v>1638</v>
      </c>
      <c r="B1425" s="298">
        <v>95.908099148999995</v>
      </c>
      <c r="E1425" s="280">
        <v>41</v>
      </c>
    </row>
    <row r="1426" spans="1:5" x14ac:dyDescent="0.2">
      <c r="A1426" s="228" t="s">
        <v>1639</v>
      </c>
      <c r="B1426" s="298">
        <v>96.908096196000002</v>
      </c>
      <c r="E1426" s="280">
        <v>41</v>
      </c>
    </row>
    <row r="1427" spans="1:5" x14ac:dyDescent="0.2">
      <c r="A1427" s="228" t="s">
        <v>1640</v>
      </c>
      <c r="B1427" s="298">
        <v>97.910329730000001</v>
      </c>
      <c r="E1427" s="280">
        <v>41</v>
      </c>
    </row>
    <row r="1428" spans="1:5" x14ac:dyDescent="0.2">
      <c r="A1428" s="228" t="s">
        <v>1641</v>
      </c>
      <c r="B1428" s="298">
        <v>98.911616887999998</v>
      </c>
      <c r="E1428" s="280">
        <v>41</v>
      </c>
    </row>
    <row r="1429" spans="1:5" x14ac:dyDescent="0.2">
      <c r="A1429" s="287" t="s">
        <v>1642</v>
      </c>
      <c r="B1429" s="299">
        <v>144.24</v>
      </c>
      <c r="C1429" s="288">
        <v>0</v>
      </c>
      <c r="D1429" s="288">
        <v>0</v>
      </c>
      <c r="E1429" s="288">
        <v>60</v>
      </c>
    </row>
    <row r="1430" spans="1:5" x14ac:dyDescent="0.2">
      <c r="A1430" s="228" t="s">
        <v>1643</v>
      </c>
      <c r="B1430" s="298">
        <v>126.9405</v>
      </c>
      <c r="E1430" s="280">
        <v>60</v>
      </c>
    </row>
    <row r="1431" spans="1:5" x14ac:dyDescent="0.2">
      <c r="A1431" s="228" t="s">
        <v>1644</v>
      </c>
      <c r="B1431" s="298">
        <v>127.93539</v>
      </c>
      <c r="E1431" s="280">
        <v>60</v>
      </c>
    </row>
    <row r="1432" spans="1:5" x14ac:dyDescent="0.2">
      <c r="A1432" s="228" t="s">
        <v>1645</v>
      </c>
      <c r="B1432" s="298">
        <v>128.93325999999999</v>
      </c>
      <c r="E1432" s="280">
        <v>60</v>
      </c>
    </row>
    <row r="1433" spans="1:5" x14ac:dyDescent="0.2">
      <c r="A1433" s="228" t="s">
        <v>1646</v>
      </c>
      <c r="B1433" s="298">
        <v>129.92877999999999</v>
      </c>
      <c r="E1433" s="280">
        <v>60</v>
      </c>
    </row>
    <row r="1434" spans="1:5" x14ac:dyDescent="0.2">
      <c r="A1434" s="228" t="s">
        <v>1647</v>
      </c>
      <c r="B1434" s="298">
        <v>130.927103144</v>
      </c>
      <c r="E1434" s="280">
        <v>60</v>
      </c>
    </row>
    <row r="1435" spans="1:5" x14ac:dyDescent="0.2">
      <c r="A1435" s="228" t="s">
        <v>1648</v>
      </c>
      <c r="B1435" s="298">
        <v>131.92312000000001</v>
      </c>
      <c r="E1435" s="280">
        <v>60</v>
      </c>
    </row>
    <row r="1436" spans="1:5" x14ac:dyDescent="0.2">
      <c r="A1436" s="228" t="s">
        <v>1649</v>
      </c>
      <c r="B1436" s="298">
        <v>132.92221000000001</v>
      </c>
      <c r="E1436" s="280">
        <v>60</v>
      </c>
    </row>
    <row r="1437" spans="1:5" x14ac:dyDescent="0.2">
      <c r="A1437" s="228" t="s">
        <v>1650</v>
      </c>
      <c r="B1437" s="298">
        <v>133.91866400000001</v>
      </c>
      <c r="E1437" s="280">
        <v>60</v>
      </c>
    </row>
    <row r="1438" spans="1:5" x14ac:dyDescent="0.2">
      <c r="A1438" s="228" t="s">
        <v>1651</v>
      </c>
      <c r="B1438" s="298">
        <v>134.91824</v>
      </c>
      <c r="E1438" s="280">
        <v>60</v>
      </c>
    </row>
    <row r="1439" spans="1:5" x14ac:dyDescent="0.2">
      <c r="A1439" s="228" t="s">
        <v>1652</v>
      </c>
      <c r="B1439" s="298">
        <v>135.91502126500001</v>
      </c>
      <c r="E1439" s="280">
        <v>60</v>
      </c>
    </row>
    <row r="1440" spans="1:5" x14ac:dyDescent="0.2">
      <c r="A1440" s="228" t="s">
        <v>1653</v>
      </c>
      <c r="B1440" s="298">
        <v>136.914640453</v>
      </c>
      <c r="E1440" s="280">
        <v>60</v>
      </c>
    </row>
    <row r="1441" spans="1:5" x14ac:dyDescent="0.2">
      <c r="A1441" s="228" t="s">
        <v>1654</v>
      </c>
      <c r="B1441" s="298">
        <v>137.91193100000001</v>
      </c>
      <c r="E1441" s="280">
        <v>60</v>
      </c>
    </row>
    <row r="1442" spans="1:5" x14ac:dyDescent="0.2">
      <c r="A1442" s="228" t="s">
        <v>1655</v>
      </c>
      <c r="B1442" s="298">
        <v>138.91192438799999</v>
      </c>
      <c r="E1442" s="280">
        <v>60</v>
      </c>
    </row>
    <row r="1443" spans="1:5" x14ac:dyDescent="0.2">
      <c r="A1443" s="228" t="s">
        <v>1656</v>
      </c>
      <c r="B1443" s="298">
        <v>139.909310444</v>
      </c>
      <c r="E1443" s="280">
        <v>60</v>
      </c>
    </row>
    <row r="1444" spans="1:5" x14ac:dyDescent="0.2">
      <c r="A1444" s="228" t="s">
        <v>1657</v>
      </c>
      <c r="B1444" s="298">
        <v>140.909605411</v>
      </c>
      <c r="E1444" s="280">
        <v>60</v>
      </c>
    </row>
    <row r="1445" spans="1:5" x14ac:dyDescent="0.2">
      <c r="A1445" s="228" t="s">
        <v>1658</v>
      </c>
      <c r="B1445" s="298">
        <v>141.90771926299999</v>
      </c>
      <c r="E1445" s="280">
        <v>60</v>
      </c>
    </row>
    <row r="1446" spans="1:5" x14ac:dyDescent="0.2">
      <c r="A1446" s="228" t="s">
        <v>1659</v>
      </c>
      <c r="B1446" s="298">
        <v>142.90981024499999</v>
      </c>
      <c r="E1446" s="280">
        <v>60</v>
      </c>
    </row>
    <row r="1447" spans="1:5" x14ac:dyDescent="0.2">
      <c r="A1447" s="228" t="s">
        <v>1660</v>
      </c>
      <c r="B1447" s="298">
        <v>143.910083249</v>
      </c>
      <c r="E1447" s="280">
        <v>60</v>
      </c>
    </row>
    <row r="1448" spans="1:5" x14ac:dyDescent="0.2">
      <c r="A1448" s="228" t="s">
        <v>1661</v>
      </c>
      <c r="B1448" s="298">
        <v>144.91256942499999</v>
      </c>
      <c r="E1448" s="280">
        <v>60</v>
      </c>
    </row>
    <row r="1449" spans="1:5" x14ac:dyDescent="0.2">
      <c r="A1449" s="228" t="s">
        <v>1662</v>
      </c>
      <c r="B1449" s="298">
        <v>145.91311271500001</v>
      </c>
      <c r="E1449" s="280">
        <v>60</v>
      </c>
    </row>
    <row r="1450" spans="1:5" x14ac:dyDescent="0.2">
      <c r="A1450" s="228" t="s">
        <v>1663</v>
      </c>
      <c r="B1450" s="298">
        <v>146.91609636800001</v>
      </c>
      <c r="E1450" s="280">
        <v>60</v>
      </c>
    </row>
    <row r="1451" spans="1:5" x14ac:dyDescent="0.2">
      <c r="A1451" s="228" t="s">
        <v>1664</v>
      </c>
      <c r="B1451" s="298">
        <v>147.91688907299999</v>
      </c>
      <c r="E1451" s="280">
        <v>60</v>
      </c>
    </row>
    <row r="1452" spans="1:5" x14ac:dyDescent="0.2">
      <c r="A1452" s="228" t="s">
        <v>1665</v>
      </c>
      <c r="B1452" s="298">
        <v>148.92014474699999</v>
      </c>
      <c r="E1452" s="280">
        <v>60</v>
      </c>
    </row>
    <row r="1453" spans="1:5" x14ac:dyDescent="0.2">
      <c r="A1453" s="228" t="s">
        <v>1666</v>
      </c>
      <c r="B1453" s="298">
        <v>149.92088699999999</v>
      </c>
      <c r="E1453" s="280">
        <v>60</v>
      </c>
    </row>
    <row r="1454" spans="1:5" x14ac:dyDescent="0.2">
      <c r="A1454" s="228" t="s">
        <v>1667</v>
      </c>
      <c r="B1454" s="298">
        <v>150.92382517600001</v>
      </c>
      <c r="E1454" s="280">
        <v>60</v>
      </c>
    </row>
    <row r="1455" spans="1:5" x14ac:dyDescent="0.2">
      <c r="A1455" s="228" t="s">
        <v>1668</v>
      </c>
      <c r="B1455" s="298">
        <v>151.92468286499999</v>
      </c>
      <c r="E1455" s="280">
        <v>60</v>
      </c>
    </row>
    <row r="1456" spans="1:5" x14ac:dyDescent="0.2">
      <c r="A1456" s="228" t="s">
        <v>1669</v>
      </c>
      <c r="B1456" s="298">
        <v>152.928</v>
      </c>
      <c r="E1456" s="280">
        <v>60</v>
      </c>
    </row>
    <row r="1457" spans="1:5" x14ac:dyDescent="0.2">
      <c r="A1457" s="228" t="s">
        <v>1670</v>
      </c>
      <c r="B1457" s="298">
        <v>153.92956000000001</v>
      </c>
      <c r="E1457" s="280">
        <v>60</v>
      </c>
    </row>
    <row r="1458" spans="1:5" x14ac:dyDescent="0.2">
      <c r="A1458" s="228" t="s">
        <v>1671</v>
      </c>
      <c r="B1458" s="298">
        <v>154.93342999999999</v>
      </c>
      <c r="E1458" s="280">
        <v>60</v>
      </c>
    </row>
    <row r="1459" spans="1:5" x14ac:dyDescent="0.2">
      <c r="A1459" s="228" t="s">
        <v>1672</v>
      </c>
      <c r="B1459" s="298">
        <v>155.93547000000001</v>
      </c>
      <c r="E1459" s="280">
        <v>60</v>
      </c>
    </row>
    <row r="1460" spans="1:5" x14ac:dyDescent="0.2">
      <c r="A1460" s="228" t="s">
        <v>1673</v>
      </c>
      <c r="B1460" s="298">
        <v>156.93982</v>
      </c>
      <c r="E1460" s="280">
        <v>60</v>
      </c>
    </row>
    <row r="1461" spans="1:5" x14ac:dyDescent="0.2">
      <c r="A1461" s="287" t="s">
        <v>1674</v>
      </c>
      <c r="B1461" s="299">
        <v>20.178999999999998</v>
      </c>
      <c r="C1461" s="288">
        <v>0</v>
      </c>
      <c r="D1461" s="288">
        <v>0</v>
      </c>
      <c r="E1461" s="288">
        <v>10</v>
      </c>
    </row>
    <row r="1462" spans="1:5" x14ac:dyDescent="0.2">
      <c r="A1462" s="228" t="s">
        <v>1675</v>
      </c>
      <c r="B1462" s="298">
        <v>15.04443</v>
      </c>
      <c r="E1462" s="280">
        <v>10</v>
      </c>
    </row>
    <row r="1463" spans="1:5" x14ac:dyDescent="0.2">
      <c r="A1463" s="228" t="s">
        <v>1676</v>
      </c>
      <c r="B1463" s="298">
        <v>16.025752978</v>
      </c>
      <c r="C1463" s="282">
        <v>3.9999999999999996E-21</v>
      </c>
      <c r="D1463" s="280" t="s">
        <v>168</v>
      </c>
      <c r="E1463" s="280">
        <v>10</v>
      </c>
    </row>
    <row r="1464" spans="1:5" x14ac:dyDescent="0.2">
      <c r="A1464" s="228" t="s">
        <v>1677</v>
      </c>
      <c r="B1464" s="298">
        <v>17.017697565999999</v>
      </c>
      <c r="C1464" s="280">
        <v>109</v>
      </c>
      <c r="D1464" s="280" t="s">
        <v>184</v>
      </c>
      <c r="E1464" s="280">
        <v>10</v>
      </c>
    </row>
    <row r="1465" spans="1:5" x14ac:dyDescent="0.2">
      <c r="A1465" s="228" t="s">
        <v>1678</v>
      </c>
      <c r="B1465" s="298">
        <v>18.00571029</v>
      </c>
      <c r="E1465" s="280">
        <v>10</v>
      </c>
    </row>
    <row r="1466" spans="1:5" x14ac:dyDescent="0.2">
      <c r="A1466" s="228" t="s">
        <v>1679</v>
      </c>
      <c r="B1466" s="298">
        <v>19.001879725999999</v>
      </c>
      <c r="E1466" s="280">
        <v>10</v>
      </c>
    </row>
    <row r="1467" spans="1:5" x14ac:dyDescent="0.2">
      <c r="A1467" s="228" t="s">
        <v>1680</v>
      </c>
      <c r="B1467" s="298">
        <v>19.992440175999999</v>
      </c>
      <c r="E1467" s="280">
        <v>10</v>
      </c>
    </row>
    <row r="1468" spans="1:5" x14ac:dyDescent="0.2">
      <c r="A1468" s="228" t="s">
        <v>1681</v>
      </c>
      <c r="B1468" s="298">
        <v>20.993846743999999</v>
      </c>
      <c r="E1468" s="280">
        <v>10</v>
      </c>
    </row>
    <row r="1469" spans="1:5" x14ac:dyDescent="0.2">
      <c r="A1469" s="228" t="s">
        <v>1682</v>
      </c>
      <c r="B1469" s="298">
        <v>21.9913855</v>
      </c>
      <c r="E1469" s="280">
        <v>10</v>
      </c>
    </row>
    <row r="1470" spans="1:5" x14ac:dyDescent="0.2">
      <c r="A1470" s="228" t="s">
        <v>1683</v>
      </c>
      <c r="B1470" s="298">
        <v>22.994467326999999</v>
      </c>
      <c r="E1470" s="280">
        <v>10</v>
      </c>
    </row>
    <row r="1471" spans="1:5" x14ac:dyDescent="0.2">
      <c r="A1471" s="228" t="s">
        <v>1684</v>
      </c>
      <c r="B1471" s="298">
        <v>23.993615064</v>
      </c>
      <c r="E1471" s="280">
        <v>10</v>
      </c>
    </row>
    <row r="1472" spans="1:5" x14ac:dyDescent="0.2">
      <c r="A1472" s="228" t="s">
        <v>1685</v>
      </c>
      <c r="B1472" s="298">
        <v>24.997789858000001</v>
      </c>
      <c r="E1472" s="280">
        <v>10</v>
      </c>
    </row>
    <row r="1473" spans="1:5" x14ac:dyDescent="0.2">
      <c r="A1473" s="228" t="s">
        <v>1686</v>
      </c>
      <c r="B1473" s="298">
        <v>26.000461457</v>
      </c>
      <c r="E1473" s="280">
        <v>10</v>
      </c>
    </row>
    <row r="1474" spans="1:5" x14ac:dyDescent="0.2">
      <c r="A1474" s="228" t="s">
        <v>1687</v>
      </c>
      <c r="B1474" s="298">
        <v>27.0076152</v>
      </c>
      <c r="E1474" s="280">
        <v>10</v>
      </c>
    </row>
    <row r="1475" spans="1:5" x14ac:dyDescent="0.2">
      <c r="A1475" s="228" t="s">
        <v>1688</v>
      </c>
      <c r="B1475" s="298">
        <v>28.012108072</v>
      </c>
      <c r="E1475" s="280">
        <v>10</v>
      </c>
    </row>
    <row r="1476" spans="1:5" x14ac:dyDescent="0.2">
      <c r="A1476" s="228" t="s">
        <v>1689</v>
      </c>
      <c r="B1476" s="298">
        <v>29.019345902000001</v>
      </c>
      <c r="E1476" s="280">
        <v>10</v>
      </c>
    </row>
    <row r="1477" spans="1:5" x14ac:dyDescent="0.2">
      <c r="A1477" s="228" t="s">
        <v>1690</v>
      </c>
      <c r="B1477" s="298">
        <v>30.023872000000001</v>
      </c>
      <c r="E1477" s="280">
        <v>10</v>
      </c>
    </row>
    <row r="1478" spans="1:5" x14ac:dyDescent="0.2">
      <c r="A1478" s="228" t="s">
        <v>1691</v>
      </c>
      <c r="B1478" s="298">
        <v>31.033110000000001</v>
      </c>
      <c r="E1478" s="280">
        <v>10</v>
      </c>
    </row>
    <row r="1479" spans="1:5" x14ac:dyDescent="0.2">
      <c r="A1479" s="228" t="s">
        <v>1692</v>
      </c>
      <c r="B1479" s="298">
        <v>32.039909999999999</v>
      </c>
      <c r="E1479" s="280">
        <v>10</v>
      </c>
    </row>
    <row r="1480" spans="1:5" x14ac:dyDescent="0.2">
      <c r="A1480" s="228" t="s">
        <v>1693</v>
      </c>
      <c r="B1480" s="298">
        <v>259.11470400000002</v>
      </c>
      <c r="E1480" s="280">
        <v>10</v>
      </c>
    </row>
    <row r="1481" spans="1:5" x14ac:dyDescent="0.2">
      <c r="A1481" s="228" t="s">
        <v>1694</v>
      </c>
      <c r="B1481" s="298">
        <v>260.114435082</v>
      </c>
      <c r="E1481" s="280">
        <v>10</v>
      </c>
    </row>
    <row r="1482" spans="1:5" x14ac:dyDescent="0.2">
      <c r="A1482" s="228" t="s">
        <v>1695</v>
      </c>
      <c r="B1482" s="298">
        <v>261.116355</v>
      </c>
      <c r="E1482" s="280">
        <v>10</v>
      </c>
    </row>
    <row r="1483" spans="1:5" x14ac:dyDescent="0.2">
      <c r="A1483" s="228" t="s">
        <v>1696</v>
      </c>
      <c r="B1483" s="298">
        <v>262.11658999999997</v>
      </c>
      <c r="E1483" s="280">
        <v>10</v>
      </c>
    </row>
    <row r="1484" spans="1:5" x14ac:dyDescent="0.2">
      <c r="A1484" s="228" t="s">
        <v>1697</v>
      </c>
      <c r="B1484" s="298">
        <v>263.11862400000001</v>
      </c>
      <c r="E1484" s="280">
        <v>10</v>
      </c>
    </row>
    <row r="1485" spans="1:5" x14ac:dyDescent="0.2">
      <c r="A1485" s="228" t="s">
        <v>1698</v>
      </c>
      <c r="B1485" s="298">
        <v>264.11926999999997</v>
      </c>
      <c r="E1485" s="280">
        <v>10</v>
      </c>
    </row>
    <row r="1486" spans="1:5" x14ac:dyDescent="0.2">
      <c r="A1486" s="228" t="s">
        <v>1699</v>
      </c>
      <c r="B1486" s="298">
        <v>265.12142999999998</v>
      </c>
      <c r="E1486" s="280">
        <v>10</v>
      </c>
    </row>
    <row r="1487" spans="1:5" x14ac:dyDescent="0.2">
      <c r="A1487" s="228" t="s">
        <v>1700</v>
      </c>
      <c r="B1487" s="298">
        <v>266.12241999999998</v>
      </c>
      <c r="E1487" s="280">
        <v>10</v>
      </c>
    </row>
    <row r="1488" spans="1:5" x14ac:dyDescent="0.2">
      <c r="A1488" s="287" t="s">
        <v>1701</v>
      </c>
      <c r="B1488" s="299">
        <v>58.7</v>
      </c>
      <c r="C1488" s="288">
        <v>0</v>
      </c>
      <c r="D1488" s="288">
        <v>0</v>
      </c>
      <c r="E1488" s="288">
        <v>28</v>
      </c>
    </row>
    <row r="1489" spans="1:5" x14ac:dyDescent="0.2">
      <c r="A1489" s="228" t="s">
        <v>1702</v>
      </c>
      <c r="B1489" s="298">
        <v>49.995930000000001</v>
      </c>
      <c r="E1489" s="280">
        <v>28</v>
      </c>
    </row>
    <row r="1490" spans="1:5" x14ac:dyDescent="0.2">
      <c r="A1490" s="228" t="s">
        <v>1703</v>
      </c>
      <c r="B1490" s="298">
        <v>50.987720000000003</v>
      </c>
      <c r="E1490" s="280">
        <v>28</v>
      </c>
    </row>
    <row r="1491" spans="1:5" x14ac:dyDescent="0.2">
      <c r="A1491" s="228" t="s">
        <v>1704</v>
      </c>
      <c r="B1491" s="298">
        <v>51.975679999999997</v>
      </c>
      <c r="E1491" s="280">
        <v>28</v>
      </c>
    </row>
    <row r="1492" spans="1:5" x14ac:dyDescent="0.2">
      <c r="A1492" s="228" t="s">
        <v>1705</v>
      </c>
      <c r="B1492" s="298">
        <v>52.96846</v>
      </c>
      <c r="E1492" s="280">
        <v>28</v>
      </c>
    </row>
    <row r="1493" spans="1:5" x14ac:dyDescent="0.2">
      <c r="A1493" s="228" t="s">
        <v>1706</v>
      </c>
      <c r="B1493" s="298">
        <v>53.957910239999997</v>
      </c>
      <c r="E1493" s="280">
        <v>28</v>
      </c>
    </row>
    <row r="1494" spans="1:5" x14ac:dyDescent="0.2">
      <c r="A1494" s="228" t="s">
        <v>1707</v>
      </c>
      <c r="B1494" s="298">
        <v>54.951336060000003</v>
      </c>
      <c r="C1494" s="280">
        <v>0.2</v>
      </c>
      <c r="D1494" s="280" t="s">
        <v>168</v>
      </c>
      <c r="E1494" s="280">
        <v>28</v>
      </c>
    </row>
    <row r="1495" spans="1:5" x14ac:dyDescent="0.2">
      <c r="A1495" s="228" t="s">
        <v>1708</v>
      </c>
      <c r="B1495" s="298">
        <v>55.942136189999999</v>
      </c>
      <c r="C1495" s="280">
        <v>6.1</v>
      </c>
      <c r="D1495" s="280" t="s">
        <v>192</v>
      </c>
      <c r="E1495" s="280">
        <v>28</v>
      </c>
    </row>
    <row r="1496" spans="1:5" x14ac:dyDescent="0.2">
      <c r="A1496" s="228" t="s">
        <v>1709</v>
      </c>
      <c r="B1496" s="298">
        <v>56.939800220000002</v>
      </c>
      <c r="C1496" s="280">
        <v>35.6</v>
      </c>
      <c r="D1496" s="280" t="s">
        <v>199</v>
      </c>
      <c r="E1496" s="280">
        <v>28</v>
      </c>
    </row>
    <row r="1497" spans="1:5" x14ac:dyDescent="0.2">
      <c r="A1497" s="228" t="s">
        <v>1710</v>
      </c>
      <c r="B1497" s="298">
        <v>57.935347653000001</v>
      </c>
      <c r="C1497" s="280">
        <v>0</v>
      </c>
      <c r="E1497" s="280">
        <v>28</v>
      </c>
    </row>
    <row r="1498" spans="1:5" x14ac:dyDescent="0.2">
      <c r="A1498" s="228" t="s">
        <v>1711</v>
      </c>
      <c r="B1498" s="298">
        <v>58.934351282000002</v>
      </c>
      <c r="C1498" s="282">
        <v>76000</v>
      </c>
      <c r="D1498" s="280" t="s">
        <v>249</v>
      </c>
      <c r="E1498" s="280">
        <v>28</v>
      </c>
    </row>
    <row r="1499" spans="1:5" x14ac:dyDescent="0.2">
      <c r="A1499" s="228" t="s">
        <v>1712</v>
      </c>
      <c r="B1499" s="298">
        <v>59.930790332999997</v>
      </c>
      <c r="C1499" s="280">
        <v>0</v>
      </c>
      <c r="D1499" s="280" t="s">
        <v>171</v>
      </c>
      <c r="E1499" s="280">
        <v>28</v>
      </c>
    </row>
    <row r="1500" spans="1:5" x14ac:dyDescent="0.2">
      <c r="A1500" s="228" t="s">
        <v>1713</v>
      </c>
      <c r="B1500" s="298">
        <v>60.931060100000003</v>
      </c>
      <c r="C1500" s="280">
        <v>0</v>
      </c>
      <c r="E1500" s="280">
        <v>28</v>
      </c>
    </row>
    <row r="1501" spans="1:5" x14ac:dyDescent="0.2">
      <c r="A1501" s="228" t="s">
        <v>1714</v>
      </c>
      <c r="B1501" s="298">
        <v>61.928348432</v>
      </c>
      <c r="C1501" s="280">
        <v>0</v>
      </c>
      <c r="E1501" s="280">
        <v>28</v>
      </c>
    </row>
    <row r="1502" spans="1:5" x14ac:dyDescent="0.2">
      <c r="A1502" s="228" t="s">
        <v>1715</v>
      </c>
      <c r="B1502" s="298">
        <v>62.929672617000001</v>
      </c>
      <c r="C1502" s="280">
        <v>100</v>
      </c>
      <c r="D1502" s="280" t="s">
        <v>249</v>
      </c>
      <c r="E1502" s="280">
        <v>28</v>
      </c>
    </row>
    <row r="1503" spans="1:5" x14ac:dyDescent="0.2">
      <c r="A1503" s="228" t="s">
        <v>1716</v>
      </c>
      <c r="B1503" s="298">
        <v>63.927969242000003</v>
      </c>
      <c r="C1503" s="280">
        <v>0</v>
      </c>
      <c r="E1503" s="280">
        <v>28</v>
      </c>
    </row>
    <row r="1504" spans="1:5" x14ac:dyDescent="0.2">
      <c r="A1504" s="228" t="s">
        <v>1717</v>
      </c>
      <c r="B1504" s="298">
        <v>64.930087681000003</v>
      </c>
      <c r="C1504" s="280">
        <v>2.5169999999999999</v>
      </c>
      <c r="D1504" s="280" t="s">
        <v>199</v>
      </c>
      <c r="E1504" s="280">
        <v>28</v>
      </c>
    </row>
    <row r="1505" spans="1:5" x14ac:dyDescent="0.2">
      <c r="A1505" s="228" t="s">
        <v>1718</v>
      </c>
      <c r="B1505" s="298">
        <v>65.929115038000006</v>
      </c>
      <c r="C1505" s="280">
        <v>54.6</v>
      </c>
      <c r="D1505" s="280" t="s">
        <v>199</v>
      </c>
      <c r="E1505" s="280">
        <v>28</v>
      </c>
    </row>
    <row r="1506" spans="1:5" x14ac:dyDescent="0.2">
      <c r="A1506" s="228" t="s">
        <v>1719</v>
      </c>
      <c r="B1506" s="298">
        <v>66.931569386999996</v>
      </c>
      <c r="E1506" s="280">
        <v>28</v>
      </c>
    </row>
    <row r="1507" spans="1:5" x14ac:dyDescent="0.2">
      <c r="A1507" s="228" t="s">
        <v>1720</v>
      </c>
      <c r="B1507" s="298">
        <v>67.931844736000002</v>
      </c>
      <c r="E1507" s="280">
        <v>28</v>
      </c>
    </row>
    <row r="1508" spans="1:5" x14ac:dyDescent="0.2">
      <c r="A1508" s="228" t="s">
        <v>1721</v>
      </c>
      <c r="B1508" s="298">
        <v>68.935181584999995</v>
      </c>
      <c r="E1508" s="280">
        <v>28</v>
      </c>
    </row>
    <row r="1509" spans="1:5" x14ac:dyDescent="0.2">
      <c r="A1509" s="228" t="s">
        <v>1722</v>
      </c>
      <c r="B1509" s="298">
        <v>69.936139999999995</v>
      </c>
      <c r="E1509" s="280">
        <v>28</v>
      </c>
    </row>
    <row r="1510" spans="1:5" x14ac:dyDescent="0.2">
      <c r="A1510" s="228" t="s">
        <v>1723</v>
      </c>
      <c r="B1510" s="298">
        <v>70.94</v>
      </c>
      <c r="E1510" s="280">
        <v>28</v>
      </c>
    </row>
    <row r="1511" spans="1:5" x14ac:dyDescent="0.2">
      <c r="A1511" s="228" t="s">
        <v>1724</v>
      </c>
      <c r="B1511" s="298">
        <v>71.941299999999998</v>
      </c>
      <c r="E1511" s="280">
        <v>28</v>
      </c>
    </row>
    <row r="1512" spans="1:5" x14ac:dyDescent="0.2">
      <c r="A1512" s="228" t="s">
        <v>1725</v>
      </c>
      <c r="B1512" s="298">
        <v>72.945970000000003</v>
      </c>
      <c r="E1512" s="280">
        <v>28</v>
      </c>
    </row>
    <row r="1513" spans="1:5" x14ac:dyDescent="0.2">
      <c r="A1513" s="228" t="s">
        <v>1726</v>
      </c>
      <c r="B1513" s="298">
        <v>73.947689999999994</v>
      </c>
      <c r="E1513" s="280">
        <v>28</v>
      </c>
    </row>
    <row r="1514" spans="1:5" x14ac:dyDescent="0.2">
      <c r="A1514" s="228" t="s">
        <v>1727</v>
      </c>
      <c r="B1514" s="298">
        <v>74.952590000000001</v>
      </c>
      <c r="E1514" s="280">
        <v>28</v>
      </c>
    </row>
    <row r="1515" spans="1:5" x14ac:dyDescent="0.2">
      <c r="A1515" s="228" t="s">
        <v>1728</v>
      </c>
      <c r="B1515" s="298">
        <v>75.954719999999995</v>
      </c>
      <c r="E1515" s="280">
        <v>28</v>
      </c>
    </row>
    <row r="1516" spans="1:5" x14ac:dyDescent="0.2">
      <c r="A1516" s="228" t="s">
        <v>1729</v>
      </c>
      <c r="B1516" s="298">
        <v>76.960059999999999</v>
      </c>
      <c r="E1516" s="280">
        <v>28</v>
      </c>
    </row>
    <row r="1517" spans="1:5" x14ac:dyDescent="0.2">
      <c r="A1517" s="228" t="s">
        <v>1730</v>
      </c>
      <c r="B1517" s="298">
        <v>77.962699999999998</v>
      </c>
      <c r="E1517" s="280">
        <v>28</v>
      </c>
    </row>
    <row r="1518" spans="1:5" x14ac:dyDescent="0.2">
      <c r="A1518" s="287" t="s">
        <v>3176</v>
      </c>
      <c r="B1518" s="299">
        <v>259</v>
      </c>
      <c r="C1518" s="288"/>
      <c r="D1518" s="288"/>
      <c r="E1518" s="288">
        <v>102</v>
      </c>
    </row>
    <row r="1519" spans="1:5" x14ac:dyDescent="0.2">
      <c r="A1519" s="228" t="s">
        <v>1731</v>
      </c>
      <c r="B1519" s="298">
        <v>251.088919</v>
      </c>
      <c r="E1519" s="280">
        <v>102</v>
      </c>
    </row>
    <row r="1520" spans="1:5" x14ac:dyDescent="0.2">
      <c r="A1520" s="228" t="s">
        <v>1732</v>
      </c>
      <c r="B1520" s="298">
        <v>252.08896554399999</v>
      </c>
      <c r="E1520" s="280">
        <v>102</v>
      </c>
    </row>
    <row r="1521" spans="1:5" x14ac:dyDescent="0.2">
      <c r="A1521" s="228" t="s">
        <v>1733</v>
      </c>
      <c r="B1521" s="298">
        <v>253.09069099999999</v>
      </c>
      <c r="E1521" s="280">
        <v>102</v>
      </c>
    </row>
    <row r="1522" spans="1:5" x14ac:dyDescent="0.2">
      <c r="A1522" s="228" t="s">
        <v>1734</v>
      </c>
      <c r="B1522" s="298">
        <v>254.09094783500001</v>
      </c>
      <c r="E1522" s="280">
        <v>102</v>
      </c>
    </row>
    <row r="1523" spans="1:5" x14ac:dyDescent="0.2">
      <c r="A1523" s="228" t="s">
        <v>1735</v>
      </c>
      <c r="B1523" s="298">
        <v>255.09323447599999</v>
      </c>
      <c r="E1523" s="280">
        <v>102</v>
      </c>
    </row>
    <row r="1524" spans="1:5" x14ac:dyDescent="0.2">
      <c r="A1524" s="228" t="s">
        <v>1736</v>
      </c>
      <c r="B1524" s="298">
        <v>256.09427491399998</v>
      </c>
      <c r="E1524" s="280">
        <v>102</v>
      </c>
    </row>
    <row r="1525" spans="1:5" x14ac:dyDescent="0.2">
      <c r="A1525" s="228" t="s">
        <v>1737</v>
      </c>
      <c r="B1525" s="298">
        <v>257.09685186000002</v>
      </c>
      <c r="E1525" s="280">
        <v>102</v>
      </c>
    </row>
    <row r="1526" spans="1:5" x14ac:dyDescent="0.2">
      <c r="A1526" s="228" t="s">
        <v>1738</v>
      </c>
      <c r="B1526" s="298">
        <v>258.098253</v>
      </c>
      <c r="E1526" s="280">
        <v>102</v>
      </c>
    </row>
    <row r="1527" spans="1:5" x14ac:dyDescent="0.2">
      <c r="A1527" s="228" t="s">
        <v>1739</v>
      </c>
      <c r="B1527" s="298">
        <v>259.101046</v>
      </c>
      <c r="E1527" s="280">
        <v>102</v>
      </c>
    </row>
    <row r="1528" spans="1:5" x14ac:dyDescent="0.2">
      <c r="A1528" s="228" t="s">
        <v>1740</v>
      </c>
      <c r="B1528" s="298">
        <v>260.10263500000002</v>
      </c>
      <c r="E1528" s="280">
        <v>102</v>
      </c>
    </row>
    <row r="1529" spans="1:5" x14ac:dyDescent="0.2">
      <c r="A1529" s="228" t="s">
        <v>1741</v>
      </c>
      <c r="B1529" s="298">
        <v>261.10574000000003</v>
      </c>
      <c r="E1529" s="280">
        <v>102</v>
      </c>
    </row>
    <row r="1530" spans="1:5" x14ac:dyDescent="0.2">
      <c r="A1530" s="228" t="s">
        <v>1742</v>
      </c>
      <c r="B1530" s="298">
        <v>262.10757000000001</v>
      </c>
      <c r="E1530" s="280">
        <v>102</v>
      </c>
    </row>
    <row r="1531" spans="1:5" x14ac:dyDescent="0.2">
      <c r="A1531" s="228" t="s">
        <v>1743</v>
      </c>
      <c r="B1531" s="298">
        <v>263.11079000000001</v>
      </c>
      <c r="E1531" s="280">
        <v>102</v>
      </c>
    </row>
    <row r="1532" spans="1:5" x14ac:dyDescent="0.2">
      <c r="A1532" s="287" t="s">
        <v>3177</v>
      </c>
      <c r="B1532" s="299">
        <v>237</v>
      </c>
      <c r="C1532" s="288"/>
      <c r="D1532" s="288"/>
      <c r="E1532" s="288">
        <v>93</v>
      </c>
    </row>
    <row r="1533" spans="1:5" x14ac:dyDescent="0.2">
      <c r="A1533" s="228" t="s">
        <v>1744</v>
      </c>
      <c r="B1533" s="298">
        <v>225.033899292</v>
      </c>
      <c r="E1533" s="280">
        <v>93</v>
      </c>
    </row>
    <row r="1534" spans="1:5" x14ac:dyDescent="0.2">
      <c r="A1534" s="228" t="s">
        <v>1745</v>
      </c>
      <c r="B1534" s="298">
        <v>226.03507500000001</v>
      </c>
      <c r="E1534" s="280">
        <v>93</v>
      </c>
    </row>
    <row r="1535" spans="1:5" x14ac:dyDescent="0.2">
      <c r="A1535" s="228" t="s">
        <v>1746</v>
      </c>
      <c r="B1535" s="298">
        <v>227.03495914999999</v>
      </c>
      <c r="E1535" s="280">
        <v>93</v>
      </c>
    </row>
    <row r="1536" spans="1:5" x14ac:dyDescent="0.2">
      <c r="A1536" s="228" t="s">
        <v>1747</v>
      </c>
      <c r="B1536" s="298">
        <v>228.03618</v>
      </c>
      <c r="E1536" s="280">
        <v>93</v>
      </c>
    </row>
    <row r="1537" spans="1:5" x14ac:dyDescent="0.2">
      <c r="A1537" s="228" t="s">
        <v>1748</v>
      </c>
      <c r="B1537" s="298">
        <v>229.03624652299999</v>
      </c>
      <c r="E1537" s="280">
        <v>93</v>
      </c>
    </row>
    <row r="1538" spans="1:5" x14ac:dyDescent="0.2">
      <c r="A1538" s="228" t="s">
        <v>1749</v>
      </c>
      <c r="B1538" s="298">
        <v>230.03780358200001</v>
      </c>
      <c r="E1538" s="280">
        <v>93</v>
      </c>
    </row>
    <row r="1539" spans="1:5" x14ac:dyDescent="0.2">
      <c r="A1539" s="228" t="s">
        <v>1750</v>
      </c>
      <c r="B1539" s="298">
        <v>231.038233287</v>
      </c>
      <c r="E1539" s="280">
        <v>93</v>
      </c>
    </row>
    <row r="1540" spans="1:5" x14ac:dyDescent="0.2">
      <c r="A1540" s="228" t="s">
        <v>1751</v>
      </c>
      <c r="B1540" s="298">
        <v>232.040042</v>
      </c>
      <c r="E1540" s="280">
        <v>93</v>
      </c>
    </row>
    <row r="1541" spans="1:5" x14ac:dyDescent="0.2">
      <c r="A1541" s="228" t="s">
        <v>1752</v>
      </c>
      <c r="B1541" s="298">
        <v>233.040952</v>
      </c>
      <c r="E1541" s="280">
        <v>93</v>
      </c>
    </row>
    <row r="1542" spans="1:5" x14ac:dyDescent="0.2">
      <c r="A1542" s="228" t="s">
        <v>1753</v>
      </c>
      <c r="B1542" s="298">
        <v>234.04288764500001</v>
      </c>
      <c r="E1542" s="280">
        <v>93</v>
      </c>
    </row>
    <row r="1543" spans="1:5" x14ac:dyDescent="0.2">
      <c r="A1543" s="228" t="s">
        <v>1754</v>
      </c>
      <c r="B1543" s="298">
        <v>235.04405496699999</v>
      </c>
      <c r="E1543" s="280">
        <v>93</v>
      </c>
    </row>
    <row r="1544" spans="1:5" x14ac:dyDescent="0.2">
      <c r="A1544" s="228" t="s">
        <v>1755</v>
      </c>
      <c r="B1544" s="298">
        <v>236.046570094</v>
      </c>
      <c r="E1544" s="280">
        <v>93</v>
      </c>
    </row>
    <row r="1545" spans="1:5" x14ac:dyDescent="0.2">
      <c r="A1545" s="228" t="s">
        <v>1756</v>
      </c>
      <c r="B1545" s="298">
        <v>237.048166345</v>
      </c>
      <c r="C1545" s="282">
        <v>2140000</v>
      </c>
      <c r="D1545" s="280" t="s">
        <v>249</v>
      </c>
      <c r="E1545" s="280">
        <v>93</v>
      </c>
    </row>
    <row r="1546" spans="1:5" x14ac:dyDescent="0.2">
      <c r="A1546" s="228" t="s">
        <v>1757</v>
      </c>
      <c r="B1546" s="298">
        <v>238.050939559</v>
      </c>
      <c r="C1546" s="280">
        <v>2.117</v>
      </c>
      <c r="D1546" s="280" t="s">
        <v>192</v>
      </c>
      <c r="E1546" s="280">
        <v>93</v>
      </c>
    </row>
    <row r="1547" spans="1:5" x14ac:dyDescent="0.2">
      <c r="A1547" s="228" t="s">
        <v>1758</v>
      </c>
      <c r="B1547" s="298">
        <v>239.05293048799999</v>
      </c>
      <c r="C1547" s="280">
        <v>2.355</v>
      </c>
      <c r="D1547" s="280" t="s">
        <v>192</v>
      </c>
      <c r="E1547" s="280">
        <v>93</v>
      </c>
    </row>
    <row r="1548" spans="1:5" x14ac:dyDescent="0.2">
      <c r="A1548" s="228" t="s">
        <v>1759</v>
      </c>
      <c r="B1548" s="298">
        <v>240.05616791700001</v>
      </c>
      <c r="C1548" s="280">
        <v>1.032</v>
      </c>
      <c r="D1548" s="280" t="s">
        <v>199</v>
      </c>
      <c r="E1548" s="280">
        <v>93</v>
      </c>
    </row>
    <row r="1549" spans="1:5" x14ac:dyDescent="0.2">
      <c r="A1549" s="228" t="s">
        <v>1760</v>
      </c>
      <c r="B1549" s="298">
        <v>241.05824535400001</v>
      </c>
      <c r="C1549" s="280">
        <v>13.9</v>
      </c>
      <c r="D1549" s="280" t="s">
        <v>218</v>
      </c>
      <c r="E1549" s="280">
        <v>93</v>
      </c>
    </row>
    <row r="1550" spans="1:5" x14ac:dyDescent="0.2">
      <c r="A1550" s="228" t="s">
        <v>1761</v>
      </c>
      <c r="B1550" s="298">
        <v>242.06163444800001</v>
      </c>
      <c r="E1550" s="280">
        <v>93</v>
      </c>
    </row>
    <row r="1551" spans="1:5" x14ac:dyDescent="0.2">
      <c r="A1551" s="228" t="s">
        <v>1762</v>
      </c>
      <c r="B1551" s="298">
        <v>243.06432538799999</v>
      </c>
      <c r="E1551" s="280">
        <v>93</v>
      </c>
    </row>
    <row r="1552" spans="1:5" x14ac:dyDescent="0.2">
      <c r="A1552" s="287" t="s">
        <v>3178</v>
      </c>
      <c r="B1552" s="299">
        <v>264</v>
      </c>
      <c r="C1552" s="288"/>
      <c r="D1552" s="288"/>
      <c r="E1552" s="288">
        <v>107</v>
      </c>
    </row>
    <row r="1553" spans="1:5" x14ac:dyDescent="0.2">
      <c r="A1553" s="228" t="s">
        <v>3159</v>
      </c>
      <c r="B1553" s="298">
        <v>261.12179200000003</v>
      </c>
      <c r="E1553" s="280">
        <v>107</v>
      </c>
    </row>
    <row r="1554" spans="1:5" x14ac:dyDescent="0.2">
      <c r="A1554" s="228" t="s">
        <v>3160</v>
      </c>
      <c r="B1554" s="298">
        <v>262.12311599999998</v>
      </c>
      <c r="E1554" s="280">
        <v>107</v>
      </c>
    </row>
    <row r="1555" spans="1:5" x14ac:dyDescent="0.2">
      <c r="A1555" s="228" t="s">
        <v>3161</v>
      </c>
      <c r="B1555" s="298">
        <v>263.12331</v>
      </c>
      <c r="E1555" s="280">
        <v>107</v>
      </c>
    </row>
    <row r="1556" spans="1:5" x14ac:dyDescent="0.2">
      <c r="A1556" s="228" t="s">
        <v>3162</v>
      </c>
      <c r="B1556" s="298">
        <v>264.12491</v>
      </c>
      <c r="E1556" s="280">
        <v>107</v>
      </c>
    </row>
    <row r="1557" spans="1:5" x14ac:dyDescent="0.2">
      <c r="A1557" s="228" t="s">
        <v>3163</v>
      </c>
      <c r="B1557" s="298">
        <v>265.12540999999999</v>
      </c>
      <c r="E1557" s="280">
        <v>107</v>
      </c>
    </row>
    <row r="1558" spans="1:5" x14ac:dyDescent="0.2">
      <c r="A1558" s="228" t="s">
        <v>3164</v>
      </c>
      <c r="B1558" s="298">
        <v>266.12745000000001</v>
      </c>
      <c r="E1558" s="280">
        <v>107</v>
      </c>
    </row>
    <row r="1559" spans="1:5" x14ac:dyDescent="0.2">
      <c r="A1559" s="287" t="s">
        <v>1763</v>
      </c>
      <c r="B1559" s="299">
        <v>15.9994</v>
      </c>
      <c r="C1559" s="288">
        <v>0</v>
      </c>
      <c r="D1559" s="288">
        <v>0</v>
      </c>
      <c r="E1559" s="288">
        <v>8</v>
      </c>
    </row>
    <row r="1560" spans="1:5" x14ac:dyDescent="0.2">
      <c r="A1560" s="228" t="s">
        <v>1764</v>
      </c>
      <c r="B1560" s="298">
        <v>12.034421427</v>
      </c>
      <c r="C1560" s="282">
        <v>9.9999999999999998E-13</v>
      </c>
      <c r="D1560" s="280" t="s">
        <v>168</v>
      </c>
      <c r="E1560" s="280">
        <v>8</v>
      </c>
    </row>
    <row r="1561" spans="1:5" x14ac:dyDescent="0.2">
      <c r="A1561" s="228" t="s">
        <v>1765</v>
      </c>
      <c r="B1561" s="298">
        <v>13.0248104</v>
      </c>
      <c r="C1561" s="280">
        <v>8.9</v>
      </c>
      <c r="D1561" s="280" t="s">
        <v>184</v>
      </c>
      <c r="E1561" s="280">
        <v>8</v>
      </c>
    </row>
    <row r="1562" spans="1:5" x14ac:dyDescent="0.2">
      <c r="A1562" s="228" t="s">
        <v>1766</v>
      </c>
      <c r="B1562" s="298">
        <v>14.008595287</v>
      </c>
      <c r="C1562" s="280">
        <v>70.599999999999994</v>
      </c>
      <c r="D1562" s="280" t="s">
        <v>168</v>
      </c>
      <c r="E1562" s="280">
        <v>8</v>
      </c>
    </row>
    <row r="1563" spans="1:5" x14ac:dyDescent="0.2">
      <c r="A1563" s="228" t="s">
        <v>1767</v>
      </c>
      <c r="B1563" s="298">
        <v>15.00306546</v>
      </c>
      <c r="C1563" s="280">
        <v>122.2</v>
      </c>
      <c r="D1563" s="280" t="s">
        <v>184</v>
      </c>
      <c r="E1563" s="280">
        <v>8</v>
      </c>
    </row>
    <row r="1564" spans="1:5" x14ac:dyDescent="0.2">
      <c r="A1564" s="228" t="s">
        <v>1768</v>
      </c>
      <c r="B1564" s="298">
        <v>15.994914622</v>
      </c>
      <c r="C1564" s="280">
        <v>0</v>
      </c>
      <c r="E1564" s="280">
        <v>8</v>
      </c>
    </row>
    <row r="1565" spans="1:5" x14ac:dyDescent="0.2">
      <c r="A1565" s="228" t="s">
        <v>1769</v>
      </c>
      <c r="B1565" s="298">
        <v>16.999131501000001</v>
      </c>
      <c r="C1565" s="280">
        <v>0</v>
      </c>
      <c r="E1565" s="280">
        <v>8</v>
      </c>
    </row>
    <row r="1566" spans="1:5" x14ac:dyDescent="0.2">
      <c r="A1566" s="228" t="s">
        <v>1770</v>
      </c>
      <c r="B1566" s="298">
        <v>17.999160412999998</v>
      </c>
      <c r="E1566" s="280">
        <v>8</v>
      </c>
    </row>
    <row r="1567" spans="1:5" x14ac:dyDescent="0.2">
      <c r="A1567" s="228" t="s">
        <v>1771</v>
      </c>
      <c r="B1567" s="298">
        <v>19.003577222000001</v>
      </c>
      <c r="E1567" s="280">
        <v>8</v>
      </c>
    </row>
    <row r="1568" spans="1:5" x14ac:dyDescent="0.2">
      <c r="A1568" s="228" t="s">
        <v>1772</v>
      </c>
      <c r="B1568" s="298">
        <v>20.004076143999999</v>
      </c>
      <c r="E1568" s="280">
        <v>8</v>
      </c>
    </row>
    <row r="1569" spans="1:5" x14ac:dyDescent="0.2">
      <c r="A1569" s="228" t="s">
        <v>1773</v>
      </c>
      <c r="B1569" s="298">
        <v>21.008654624999998</v>
      </c>
      <c r="E1569" s="280">
        <v>8</v>
      </c>
    </row>
    <row r="1570" spans="1:5" x14ac:dyDescent="0.2">
      <c r="A1570" s="228" t="s">
        <v>1774</v>
      </c>
      <c r="B1570" s="298">
        <v>22.009967151000001</v>
      </c>
      <c r="E1570" s="280">
        <v>8</v>
      </c>
    </row>
    <row r="1571" spans="1:5" x14ac:dyDescent="0.2">
      <c r="A1571" s="228" t="s">
        <v>1775</v>
      </c>
      <c r="B1571" s="298">
        <v>23.015691324999999</v>
      </c>
      <c r="E1571" s="280">
        <v>8</v>
      </c>
    </row>
    <row r="1572" spans="1:5" x14ac:dyDescent="0.2">
      <c r="A1572" s="228" t="s">
        <v>1776</v>
      </c>
      <c r="B1572" s="298">
        <v>24.020369922</v>
      </c>
      <c r="E1572" s="280">
        <v>8</v>
      </c>
    </row>
    <row r="1573" spans="1:5" x14ac:dyDescent="0.2">
      <c r="A1573" s="228" t="s">
        <v>1777</v>
      </c>
      <c r="B1573" s="298">
        <v>25.029140000000002</v>
      </c>
      <c r="E1573" s="280">
        <v>8</v>
      </c>
    </row>
    <row r="1574" spans="1:5" x14ac:dyDescent="0.2">
      <c r="A1574" s="228" t="s">
        <v>1778</v>
      </c>
      <c r="B1574" s="298">
        <v>26.037749999999999</v>
      </c>
      <c r="E1574" s="280">
        <v>8</v>
      </c>
    </row>
    <row r="1575" spans="1:5" x14ac:dyDescent="0.2">
      <c r="A1575" s="287" t="s">
        <v>1779</v>
      </c>
      <c r="B1575" s="299">
        <v>190.2</v>
      </c>
      <c r="C1575" s="288">
        <v>0</v>
      </c>
      <c r="D1575" s="288">
        <v>0</v>
      </c>
      <c r="E1575" s="288">
        <v>76</v>
      </c>
    </row>
    <row r="1576" spans="1:5" x14ac:dyDescent="0.2">
      <c r="A1576" s="228" t="s">
        <v>1780</v>
      </c>
      <c r="B1576" s="298">
        <v>161.98381900000001</v>
      </c>
      <c r="E1576" s="280">
        <v>76</v>
      </c>
    </row>
    <row r="1577" spans="1:5" x14ac:dyDescent="0.2">
      <c r="A1577" s="228" t="s">
        <v>1781</v>
      </c>
      <c r="B1577" s="298">
        <v>162.98204799999999</v>
      </c>
      <c r="E1577" s="280">
        <v>76</v>
      </c>
    </row>
    <row r="1578" spans="1:5" x14ac:dyDescent="0.2">
      <c r="A1578" s="228" t="s">
        <v>1782</v>
      </c>
      <c r="B1578" s="298">
        <v>163.97792699999999</v>
      </c>
      <c r="E1578" s="280">
        <v>76</v>
      </c>
    </row>
    <row r="1579" spans="1:5" x14ac:dyDescent="0.2">
      <c r="A1579" s="228" t="s">
        <v>1783</v>
      </c>
      <c r="B1579" s="298">
        <v>164.97647499999999</v>
      </c>
      <c r="E1579" s="280">
        <v>76</v>
      </c>
    </row>
    <row r="1580" spans="1:5" x14ac:dyDescent="0.2">
      <c r="A1580" s="228" t="s">
        <v>1784</v>
      </c>
      <c r="B1580" s="298">
        <v>165.97252700000001</v>
      </c>
      <c r="E1580" s="280">
        <v>76</v>
      </c>
    </row>
    <row r="1581" spans="1:5" x14ac:dyDescent="0.2">
      <c r="A1581" s="228" t="s">
        <v>1785</v>
      </c>
      <c r="B1581" s="298">
        <v>166.971384</v>
      </c>
      <c r="E1581" s="280">
        <v>76</v>
      </c>
    </row>
    <row r="1582" spans="1:5" x14ac:dyDescent="0.2">
      <c r="A1582" s="228" t="s">
        <v>1786</v>
      </c>
      <c r="B1582" s="298">
        <v>167.96775342999999</v>
      </c>
      <c r="E1582" s="280">
        <v>76</v>
      </c>
    </row>
    <row r="1583" spans="1:5" x14ac:dyDescent="0.2">
      <c r="A1583" s="228" t="s">
        <v>1787</v>
      </c>
      <c r="B1583" s="298">
        <v>168.96707864699999</v>
      </c>
      <c r="E1583" s="280">
        <v>76</v>
      </c>
    </row>
    <row r="1584" spans="1:5" x14ac:dyDescent="0.2">
      <c r="A1584" s="228" t="s">
        <v>1788</v>
      </c>
      <c r="B1584" s="298">
        <v>169.96357216300001</v>
      </c>
      <c r="E1584" s="280">
        <v>76</v>
      </c>
    </row>
    <row r="1585" spans="1:5" x14ac:dyDescent="0.2">
      <c r="A1585" s="228" t="s">
        <v>1789</v>
      </c>
      <c r="B1585" s="298">
        <v>170.96303900000001</v>
      </c>
      <c r="E1585" s="280">
        <v>76</v>
      </c>
    </row>
    <row r="1586" spans="1:5" x14ac:dyDescent="0.2">
      <c r="A1586" s="228" t="s">
        <v>1790</v>
      </c>
      <c r="B1586" s="298">
        <v>171.96007800000001</v>
      </c>
      <c r="E1586" s="280">
        <v>76</v>
      </c>
    </row>
    <row r="1587" spans="1:5" x14ac:dyDescent="0.2">
      <c r="A1587" s="228" t="s">
        <v>1791</v>
      </c>
      <c r="B1587" s="298">
        <v>172.959791</v>
      </c>
      <c r="E1587" s="280">
        <v>76</v>
      </c>
    </row>
    <row r="1588" spans="1:5" x14ac:dyDescent="0.2">
      <c r="A1588" s="228" t="s">
        <v>1792</v>
      </c>
      <c r="B1588" s="298">
        <v>173.957122</v>
      </c>
      <c r="E1588" s="280">
        <v>76</v>
      </c>
    </row>
    <row r="1589" spans="1:5" x14ac:dyDescent="0.2">
      <c r="A1589" s="228" t="s">
        <v>1793</v>
      </c>
      <c r="B1589" s="298">
        <v>174.957032</v>
      </c>
      <c r="E1589" s="280">
        <v>76</v>
      </c>
    </row>
    <row r="1590" spans="1:5" x14ac:dyDescent="0.2">
      <c r="A1590" s="228" t="s">
        <v>1794</v>
      </c>
      <c r="B1590" s="298">
        <v>175.95496700000001</v>
      </c>
      <c r="E1590" s="280">
        <v>76</v>
      </c>
    </row>
    <row r="1591" spans="1:5" x14ac:dyDescent="0.2">
      <c r="A1591" s="228" t="s">
        <v>1795</v>
      </c>
      <c r="B1591" s="298">
        <v>176.955072</v>
      </c>
      <c r="E1591" s="280">
        <v>76</v>
      </c>
    </row>
    <row r="1592" spans="1:5" x14ac:dyDescent="0.2">
      <c r="A1592" s="228" t="s">
        <v>1796</v>
      </c>
      <c r="B1592" s="298">
        <v>177.95335788099999</v>
      </c>
      <c r="E1592" s="280">
        <v>76</v>
      </c>
    </row>
    <row r="1593" spans="1:5" x14ac:dyDescent="0.2">
      <c r="A1593" s="228" t="s">
        <v>1797</v>
      </c>
      <c r="B1593" s="298">
        <v>178.95393000000001</v>
      </c>
      <c r="E1593" s="280">
        <v>76</v>
      </c>
    </row>
    <row r="1594" spans="1:5" x14ac:dyDescent="0.2">
      <c r="A1594" s="228" t="s">
        <v>1798</v>
      </c>
      <c r="B1594" s="298">
        <v>179.952361</v>
      </c>
      <c r="E1594" s="280">
        <v>76</v>
      </c>
    </row>
    <row r="1595" spans="1:5" x14ac:dyDescent="0.2">
      <c r="A1595" s="228" t="s">
        <v>1799</v>
      </c>
      <c r="B1595" s="298">
        <v>180.95321000000001</v>
      </c>
      <c r="E1595" s="280">
        <v>76</v>
      </c>
    </row>
    <row r="1596" spans="1:5" x14ac:dyDescent="0.2">
      <c r="A1596" s="228" t="s">
        <v>1800</v>
      </c>
      <c r="B1596" s="298">
        <v>181.95218601299999</v>
      </c>
      <c r="E1596" s="280">
        <v>76</v>
      </c>
    </row>
    <row r="1597" spans="1:5" x14ac:dyDescent="0.2">
      <c r="A1597" s="228" t="s">
        <v>1801</v>
      </c>
      <c r="B1597" s="298">
        <v>182.95311000000001</v>
      </c>
      <c r="E1597" s="280">
        <v>76</v>
      </c>
    </row>
    <row r="1598" spans="1:5" x14ac:dyDescent="0.2">
      <c r="A1598" s="228" t="s">
        <v>1802</v>
      </c>
      <c r="B1598" s="298">
        <v>183.952490557</v>
      </c>
      <c r="E1598" s="280">
        <v>76</v>
      </c>
    </row>
    <row r="1599" spans="1:5" x14ac:dyDescent="0.2">
      <c r="A1599" s="228" t="s">
        <v>1803</v>
      </c>
      <c r="B1599" s="298">
        <v>184.954042773</v>
      </c>
      <c r="E1599" s="280">
        <v>76</v>
      </c>
    </row>
    <row r="1600" spans="1:5" x14ac:dyDescent="0.2">
      <c r="A1600" s="228" t="s">
        <v>1804</v>
      </c>
      <c r="B1600" s="298">
        <v>185.95383808099999</v>
      </c>
      <c r="E1600" s="280">
        <v>76</v>
      </c>
    </row>
    <row r="1601" spans="1:5" x14ac:dyDescent="0.2">
      <c r="A1601" s="228" t="s">
        <v>1805</v>
      </c>
      <c r="B1601" s="298">
        <v>186.95574760599999</v>
      </c>
      <c r="E1601" s="280">
        <v>76</v>
      </c>
    </row>
    <row r="1602" spans="1:5" x14ac:dyDescent="0.2">
      <c r="A1602" s="228" t="s">
        <v>1806</v>
      </c>
      <c r="B1602" s="298">
        <v>187.95583566900001</v>
      </c>
      <c r="E1602" s="280">
        <v>76</v>
      </c>
    </row>
    <row r="1603" spans="1:5" x14ac:dyDescent="0.2">
      <c r="A1603" s="228" t="s">
        <v>1807</v>
      </c>
      <c r="B1603" s="298">
        <v>188.958144533</v>
      </c>
      <c r="E1603" s="280">
        <v>76</v>
      </c>
    </row>
    <row r="1604" spans="1:5" x14ac:dyDescent="0.2">
      <c r="A1604" s="228" t="s">
        <v>1808</v>
      </c>
      <c r="B1604" s="298">
        <v>189.95844483900001</v>
      </c>
      <c r="E1604" s="280">
        <v>76</v>
      </c>
    </row>
    <row r="1605" spans="1:5" x14ac:dyDescent="0.2">
      <c r="A1605" s="228" t="s">
        <v>1809</v>
      </c>
      <c r="B1605" s="298">
        <v>190.96092758</v>
      </c>
      <c r="E1605" s="280">
        <v>76</v>
      </c>
    </row>
    <row r="1606" spans="1:5" x14ac:dyDescent="0.2">
      <c r="A1606" s="228" t="s">
        <v>1810</v>
      </c>
      <c r="B1606" s="298">
        <v>191.96147866499999</v>
      </c>
      <c r="E1606" s="280">
        <v>76</v>
      </c>
    </row>
    <row r="1607" spans="1:5" x14ac:dyDescent="0.2">
      <c r="A1607" s="228" t="s">
        <v>1811</v>
      </c>
      <c r="B1607" s="298">
        <v>192.96414769899999</v>
      </c>
      <c r="E1607" s="280">
        <v>76</v>
      </c>
    </row>
    <row r="1608" spans="1:5" x14ac:dyDescent="0.2">
      <c r="A1608" s="228" t="s">
        <v>1812</v>
      </c>
      <c r="B1608" s="298">
        <v>193.965178874</v>
      </c>
      <c r="E1608" s="280">
        <v>76</v>
      </c>
    </row>
    <row r="1609" spans="1:5" x14ac:dyDescent="0.2">
      <c r="A1609" s="228" t="s">
        <v>1813</v>
      </c>
      <c r="B1609" s="298">
        <v>194.968123448</v>
      </c>
      <c r="E1609" s="280">
        <v>76</v>
      </c>
    </row>
    <row r="1610" spans="1:5" x14ac:dyDescent="0.2">
      <c r="A1610" s="228" t="s">
        <v>1814</v>
      </c>
      <c r="B1610" s="298">
        <v>195.96962198400001</v>
      </c>
      <c r="E1610" s="280">
        <v>76</v>
      </c>
    </row>
    <row r="1611" spans="1:5" x14ac:dyDescent="0.2">
      <c r="A1611" s="287" t="s">
        <v>1815</v>
      </c>
      <c r="B1611" s="299">
        <v>30.973759999999999</v>
      </c>
      <c r="C1611" s="288">
        <v>0</v>
      </c>
      <c r="D1611" s="288">
        <v>0</v>
      </c>
      <c r="E1611" s="288">
        <v>15</v>
      </c>
    </row>
    <row r="1612" spans="1:5" x14ac:dyDescent="0.2">
      <c r="A1612" s="228" t="s">
        <v>1816</v>
      </c>
      <c r="B1612" s="298">
        <v>24.03435</v>
      </c>
      <c r="E1612" s="280">
        <v>15</v>
      </c>
    </row>
    <row r="1613" spans="1:5" x14ac:dyDescent="0.2">
      <c r="A1613" s="228" t="s">
        <v>1817</v>
      </c>
      <c r="B1613" s="298">
        <v>25.02026</v>
      </c>
      <c r="E1613" s="280">
        <v>15</v>
      </c>
    </row>
    <row r="1614" spans="1:5" x14ac:dyDescent="0.2">
      <c r="A1614" s="228" t="s">
        <v>1818</v>
      </c>
      <c r="B1614" s="298">
        <v>26.011780000000002</v>
      </c>
      <c r="E1614" s="280">
        <v>15</v>
      </c>
    </row>
    <row r="1615" spans="1:5" x14ac:dyDescent="0.2">
      <c r="A1615" s="228" t="s">
        <v>1819</v>
      </c>
      <c r="B1615" s="298">
        <v>26.999191686</v>
      </c>
      <c r="E1615" s="280">
        <v>15</v>
      </c>
    </row>
    <row r="1616" spans="1:5" x14ac:dyDescent="0.2">
      <c r="A1616" s="228" t="s">
        <v>1820</v>
      </c>
      <c r="B1616" s="298">
        <v>27.992312291000001</v>
      </c>
      <c r="E1616" s="280">
        <v>15</v>
      </c>
    </row>
    <row r="1617" spans="1:5" x14ac:dyDescent="0.2">
      <c r="A1617" s="228" t="s">
        <v>1821</v>
      </c>
      <c r="B1617" s="298">
        <v>28.981801337</v>
      </c>
      <c r="E1617" s="280">
        <v>15</v>
      </c>
    </row>
    <row r="1618" spans="1:5" x14ac:dyDescent="0.2">
      <c r="A1618" s="228" t="s">
        <v>1822</v>
      </c>
      <c r="B1618" s="298">
        <v>29.978313768</v>
      </c>
      <c r="C1618" s="280">
        <v>2.5</v>
      </c>
      <c r="D1618" s="280" t="s">
        <v>218</v>
      </c>
      <c r="E1618" s="280">
        <v>15</v>
      </c>
    </row>
    <row r="1619" spans="1:5" x14ac:dyDescent="0.2">
      <c r="A1619" s="228" t="s">
        <v>1823</v>
      </c>
      <c r="B1619" s="298">
        <v>30.973761487000001</v>
      </c>
      <c r="C1619" s="280">
        <v>0</v>
      </c>
      <c r="E1619" s="280">
        <v>15</v>
      </c>
    </row>
    <row r="1620" spans="1:5" x14ac:dyDescent="0.2">
      <c r="A1620" s="228" t="s">
        <v>1824</v>
      </c>
      <c r="B1620" s="298">
        <v>31.973907138000001</v>
      </c>
      <c r="C1620" s="280">
        <v>14.28</v>
      </c>
      <c r="D1620" s="280" t="s">
        <v>192</v>
      </c>
      <c r="E1620" s="280">
        <v>15</v>
      </c>
    </row>
    <row r="1621" spans="1:5" x14ac:dyDescent="0.2">
      <c r="A1621" s="228" t="s">
        <v>1825</v>
      </c>
      <c r="B1621" s="298">
        <v>32.971725321999998</v>
      </c>
      <c r="C1621" s="280">
        <v>25.3</v>
      </c>
      <c r="D1621" s="280" t="s">
        <v>192</v>
      </c>
      <c r="E1621" s="280">
        <v>15</v>
      </c>
    </row>
    <row r="1622" spans="1:5" x14ac:dyDescent="0.2">
      <c r="A1622" s="228" t="s">
        <v>1826</v>
      </c>
      <c r="B1622" s="298">
        <v>33.973636376999998</v>
      </c>
      <c r="E1622" s="280">
        <v>15</v>
      </c>
    </row>
    <row r="1623" spans="1:5" x14ac:dyDescent="0.2">
      <c r="A1623" s="228" t="s">
        <v>1827</v>
      </c>
      <c r="B1623" s="298">
        <v>34.973314244999997</v>
      </c>
      <c r="E1623" s="280">
        <v>15</v>
      </c>
    </row>
    <row r="1624" spans="1:5" x14ac:dyDescent="0.2">
      <c r="A1624" s="228" t="s">
        <v>1828</v>
      </c>
      <c r="B1624" s="298">
        <v>35.978259819999998</v>
      </c>
      <c r="E1624" s="280">
        <v>15</v>
      </c>
    </row>
    <row r="1625" spans="1:5" x14ac:dyDescent="0.2">
      <c r="A1625" s="228" t="s">
        <v>1829</v>
      </c>
      <c r="B1625" s="298">
        <v>36.979608333999998</v>
      </c>
      <c r="E1625" s="280">
        <v>15</v>
      </c>
    </row>
    <row r="1626" spans="1:5" x14ac:dyDescent="0.2">
      <c r="A1626" s="228" t="s">
        <v>1830</v>
      </c>
      <c r="B1626" s="298">
        <v>37.984470000000002</v>
      </c>
      <c r="E1626" s="280">
        <v>15</v>
      </c>
    </row>
    <row r="1627" spans="1:5" x14ac:dyDescent="0.2">
      <c r="A1627" s="228" t="s">
        <v>1831</v>
      </c>
      <c r="B1627" s="298">
        <v>38.986420000000003</v>
      </c>
      <c r="E1627" s="280">
        <v>15</v>
      </c>
    </row>
    <row r="1628" spans="1:5" x14ac:dyDescent="0.2">
      <c r="A1628" s="228" t="s">
        <v>1832</v>
      </c>
      <c r="B1628" s="298">
        <v>39.991050000000001</v>
      </c>
      <c r="E1628" s="280">
        <v>15</v>
      </c>
    </row>
    <row r="1629" spans="1:5" x14ac:dyDescent="0.2">
      <c r="A1629" s="228" t="s">
        <v>1833</v>
      </c>
      <c r="B1629" s="298">
        <v>40.994799999999998</v>
      </c>
      <c r="E1629" s="280">
        <v>15</v>
      </c>
    </row>
    <row r="1630" spans="1:5" x14ac:dyDescent="0.2">
      <c r="A1630" s="228" t="s">
        <v>1834</v>
      </c>
      <c r="B1630" s="298">
        <v>42.00009</v>
      </c>
      <c r="E1630" s="280">
        <v>15</v>
      </c>
    </row>
    <row r="1631" spans="1:5" x14ac:dyDescent="0.2">
      <c r="A1631" s="228" t="s">
        <v>1835</v>
      </c>
      <c r="B1631" s="298">
        <v>43.003309999999999</v>
      </c>
      <c r="E1631" s="280">
        <v>15</v>
      </c>
    </row>
    <row r="1632" spans="1:5" x14ac:dyDescent="0.2">
      <c r="A1632" s="287" t="s">
        <v>1836</v>
      </c>
      <c r="B1632" s="299">
        <v>231.0359</v>
      </c>
      <c r="C1632" s="288">
        <v>0</v>
      </c>
      <c r="D1632" s="288">
        <v>0</v>
      </c>
      <c r="E1632" s="288">
        <v>91</v>
      </c>
    </row>
    <row r="1633" spans="1:5" x14ac:dyDescent="0.2">
      <c r="A1633" s="228" t="s">
        <v>1837</v>
      </c>
      <c r="B1633" s="298">
        <v>215.019014997</v>
      </c>
      <c r="E1633" s="280">
        <v>91</v>
      </c>
    </row>
    <row r="1634" spans="1:5" x14ac:dyDescent="0.2">
      <c r="A1634" s="228" t="s">
        <v>1838</v>
      </c>
      <c r="B1634" s="298">
        <v>216.01901606000001</v>
      </c>
      <c r="E1634" s="280">
        <v>91</v>
      </c>
    </row>
    <row r="1635" spans="1:5" x14ac:dyDescent="0.2">
      <c r="A1635" s="228" t="s">
        <v>1839</v>
      </c>
      <c r="B1635" s="298">
        <v>217.01829074400001</v>
      </c>
      <c r="E1635" s="280">
        <v>91</v>
      </c>
    </row>
    <row r="1636" spans="1:5" x14ac:dyDescent="0.2">
      <c r="A1636" s="228" t="s">
        <v>1840</v>
      </c>
      <c r="B1636" s="298">
        <v>218.02001463600001</v>
      </c>
      <c r="E1636" s="280">
        <v>91</v>
      </c>
    </row>
    <row r="1637" spans="1:5" x14ac:dyDescent="0.2">
      <c r="A1637" s="228" t="s">
        <v>1841</v>
      </c>
      <c r="B1637" s="298">
        <v>219.01987979699999</v>
      </c>
      <c r="E1637" s="280">
        <v>91</v>
      </c>
    </row>
    <row r="1638" spans="1:5" x14ac:dyDescent="0.2">
      <c r="A1638" s="228" t="s">
        <v>1842</v>
      </c>
      <c r="B1638" s="298">
        <v>220.02186377000001</v>
      </c>
      <c r="E1638" s="280">
        <v>91</v>
      </c>
    </row>
    <row r="1639" spans="1:5" x14ac:dyDescent="0.2">
      <c r="A1639" s="228" t="s">
        <v>1843</v>
      </c>
      <c r="B1639" s="298">
        <v>221.02186334500001</v>
      </c>
      <c r="E1639" s="280">
        <v>91</v>
      </c>
    </row>
    <row r="1640" spans="1:5" x14ac:dyDescent="0.2">
      <c r="A1640" s="228" t="s">
        <v>1844</v>
      </c>
      <c r="B1640" s="298">
        <v>222.02367100000001</v>
      </c>
      <c r="E1640" s="280">
        <v>91</v>
      </c>
    </row>
    <row r="1641" spans="1:5" x14ac:dyDescent="0.2">
      <c r="A1641" s="228" t="s">
        <v>1845</v>
      </c>
      <c r="B1641" s="298">
        <v>223.02396463700001</v>
      </c>
      <c r="E1641" s="280">
        <v>91</v>
      </c>
    </row>
    <row r="1642" spans="1:5" x14ac:dyDescent="0.2">
      <c r="A1642" s="228" t="s">
        <v>1846</v>
      </c>
      <c r="B1642" s="298">
        <v>224.02561645399999</v>
      </c>
      <c r="E1642" s="280">
        <v>91</v>
      </c>
    </row>
    <row r="1643" spans="1:5" x14ac:dyDescent="0.2">
      <c r="A1643" s="228" t="s">
        <v>1847</v>
      </c>
      <c r="B1643" s="298">
        <v>225.026114828</v>
      </c>
      <c r="E1643" s="280">
        <v>91</v>
      </c>
    </row>
    <row r="1644" spans="1:5" x14ac:dyDescent="0.2">
      <c r="A1644" s="228" t="s">
        <v>1848</v>
      </c>
      <c r="B1644" s="298">
        <v>226.027923741</v>
      </c>
      <c r="E1644" s="280">
        <v>91</v>
      </c>
    </row>
    <row r="1645" spans="1:5" x14ac:dyDescent="0.2">
      <c r="A1645" s="228" t="s">
        <v>1849</v>
      </c>
      <c r="B1645" s="298">
        <v>227.02879327799999</v>
      </c>
      <c r="E1645" s="280">
        <v>91</v>
      </c>
    </row>
    <row r="1646" spans="1:5" x14ac:dyDescent="0.2">
      <c r="A1646" s="228" t="s">
        <v>1850</v>
      </c>
      <c r="B1646" s="298">
        <v>228.030997641</v>
      </c>
      <c r="E1646" s="280">
        <v>91</v>
      </c>
    </row>
    <row r="1647" spans="1:5" x14ac:dyDescent="0.2">
      <c r="A1647" s="228" t="s">
        <v>1851</v>
      </c>
      <c r="B1647" s="298">
        <v>229.032093393</v>
      </c>
      <c r="E1647" s="280">
        <v>91</v>
      </c>
    </row>
    <row r="1648" spans="1:5" x14ac:dyDescent="0.2">
      <c r="A1648" s="228" t="s">
        <v>1852</v>
      </c>
      <c r="B1648" s="298">
        <v>230.03453179100001</v>
      </c>
      <c r="E1648" s="280">
        <v>91</v>
      </c>
    </row>
    <row r="1649" spans="1:5" x14ac:dyDescent="0.2">
      <c r="A1649" s="228" t="s">
        <v>1853</v>
      </c>
      <c r="B1649" s="298">
        <v>231.035877989</v>
      </c>
      <c r="E1649" s="280">
        <v>91</v>
      </c>
    </row>
    <row r="1650" spans="1:5" x14ac:dyDescent="0.2">
      <c r="A1650" s="228" t="s">
        <v>1854</v>
      </c>
      <c r="B1650" s="298">
        <v>232.03858135499999</v>
      </c>
      <c r="E1650" s="280">
        <v>91</v>
      </c>
    </row>
    <row r="1651" spans="1:5" x14ac:dyDescent="0.2">
      <c r="A1651" s="228" t="s">
        <v>1855</v>
      </c>
      <c r="B1651" s="298">
        <v>233.040239251</v>
      </c>
      <c r="E1651" s="280">
        <v>91</v>
      </c>
    </row>
    <row r="1652" spans="1:5" x14ac:dyDescent="0.2">
      <c r="A1652" s="228" t="s">
        <v>1856</v>
      </c>
      <c r="B1652" s="298">
        <v>234.043303267</v>
      </c>
      <c r="E1652" s="280">
        <v>91</v>
      </c>
    </row>
    <row r="1653" spans="1:5" x14ac:dyDescent="0.2">
      <c r="A1653" s="228" t="s">
        <v>1857</v>
      </c>
      <c r="B1653" s="298">
        <v>235.045435849</v>
      </c>
      <c r="E1653" s="280">
        <v>91</v>
      </c>
    </row>
    <row r="1654" spans="1:5" x14ac:dyDescent="0.2">
      <c r="A1654" s="228" t="s">
        <v>1858</v>
      </c>
      <c r="B1654" s="298">
        <v>236.048674267</v>
      </c>
      <c r="E1654" s="280">
        <v>91</v>
      </c>
    </row>
    <row r="1655" spans="1:5" x14ac:dyDescent="0.2">
      <c r="A1655" s="228" t="s">
        <v>1859</v>
      </c>
      <c r="B1655" s="298">
        <v>237.05113852100001</v>
      </c>
      <c r="E1655" s="280">
        <v>91</v>
      </c>
    </row>
    <row r="1656" spans="1:5" x14ac:dyDescent="0.2">
      <c r="A1656" s="228" t="s">
        <v>1860</v>
      </c>
      <c r="B1656" s="298">
        <v>238.05449798800001</v>
      </c>
      <c r="E1656" s="280">
        <v>91</v>
      </c>
    </row>
    <row r="1657" spans="1:5" x14ac:dyDescent="0.2">
      <c r="A1657" s="287" t="s">
        <v>1861</v>
      </c>
      <c r="B1657" s="299">
        <v>207.2</v>
      </c>
      <c r="C1657" s="288">
        <v>0</v>
      </c>
      <c r="D1657" s="288">
        <v>0</v>
      </c>
      <c r="E1657" s="288">
        <v>82</v>
      </c>
    </row>
    <row r="1658" spans="1:5" x14ac:dyDescent="0.2">
      <c r="A1658" s="228" t="s">
        <v>1862</v>
      </c>
      <c r="B1658" s="298">
        <v>178.00370100000001</v>
      </c>
      <c r="E1658" s="280">
        <v>82</v>
      </c>
    </row>
    <row r="1659" spans="1:5" x14ac:dyDescent="0.2">
      <c r="A1659" s="228" t="s">
        <v>1863</v>
      </c>
      <c r="B1659" s="298">
        <v>179.00218599999999</v>
      </c>
      <c r="E1659" s="280">
        <v>82</v>
      </c>
    </row>
    <row r="1660" spans="1:5" x14ac:dyDescent="0.2">
      <c r="A1660" s="228" t="s">
        <v>1864</v>
      </c>
      <c r="B1660" s="298">
        <v>179.99793500000001</v>
      </c>
      <c r="E1660" s="280">
        <v>82</v>
      </c>
    </row>
    <row r="1661" spans="1:5" x14ac:dyDescent="0.2">
      <c r="A1661" s="228" t="s">
        <v>1865</v>
      </c>
      <c r="B1661" s="298">
        <v>180.99685920300001</v>
      </c>
      <c r="E1661" s="280">
        <v>82</v>
      </c>
    </row>
    <row r="1662" spans="1:5" x14ac:dyDescent="0.2">
      <c r="A1662" s="228" t="s">
        <v>1866</v>
      </c>
      <c r="B1662" s="298">
        <v>181.992678547</v>
      </c>
      <c r="E1662" s="280">
        <v>82</v>
      </c>
    </row>
    <row r="1663" spans="1:5" x14ac:dyDescent="0.2">
      <c r="A1663" s="228" t="s">
        <v>1867</v>
      </c>
      <c r="B1663" s="298">
        <v>182.99193</v>
      </c>
      <c r="E1663" s="280">
        <v>82</v>
      </c>
    </row>
    <row r="1664" spans="1:5" x14ac:dyDescent="0.2">
      <c r="A1664" s="228" t="s">
        <v>1868</v>
      </c>
      <c r="B1664" s="298">
        <v>183.98819900000001</v>
      </c>
      <c r="E1664" s="280">
        <v>82</v>
      </c>
    </row>
    <row r="1665" spans="1:5" x14ac:dyDescent="0.2">
      <c r="A1665" s="228" t="s">
        <v>1869</v>
      </c>
      <c r="B1665" s="298">
        <v>184.98758000000001</v>
      </c>
      <c r="E1665" s="280">
        <v>82</v>
      </c>
    </row>
    <row r="1666" spans="1:5" x14ac:dyDescent="0.2">
      <c r="A1666" s="228" t="s">
        <v>1870</v>
      </c>
      <c r="B1666" s="298">
        <v>185.98430099999999</v>
      </c>
      <c r="E1666" s="280">
        <v>82</v>
      </c>
    </row>
    <row r="1667" spans="1:5" x14ac:dyDescent="0.2">
      <c r="A1667" s="228" t="s">
        <v>1871</v>
      </c>
      <c r="B1667" s="298">
        <v>186.98385999999999</v>
      </c>
      <c r="E1667" s="280">
        <v>82</v>
      </c>
    </row>
    <row r="1668" spans="1:5" x14ac:dyDescent="0.2">
      <c r="A1668" s="228" t="s">
        <v>1872</v>
      </c>
      <c r="B1668" s="298">
        <v>187.98106000000001</v>
      </c>
      <c r="E1668" s="280">
        <v>82</v>
      </c>
    </row>
    <row r="1669" spans="1:5" x14ac:dyDescent="0.2">
      <c r="A1669" s="228" t="s">
        <v>1873</v>
      </c>
      <c r="B1669" s="298">
        <v>188.98088000000001</v>
      </c>
      <c r="E1669" s="280">
        <v>82</v>
      </c>
    </row>
    <row r="1670" spans="1:5" x14ac:dyDescent="0.2">
      <c r="A1670" s="228" t="s">
        <v>1874</v>
      </c>
      <c r="B1670" s="298">
        <v>189.978179141</v>
      </c>
      <c r="E1670" s="280">
        <v>82</v>
      </c>
    </row>
    <row r="1671" spans="1:5" x14ac:dyDescent="0.2">
      <c r="A1671" s="228" t="s">
        <v>1875</v>
      </c>
      <c r="B1671" s="298">
        <v>190.97819999999999</v>
      </c>
      <c r="E1671" s="280">
        <v>82</v>
      </c>
    </row>
    <row r="1672" spans="1:5" x14ac:dyDescent="0.2">
      <c r="A1672" s="228" t="s">
        <v>1876</v>
      </c>
      <c r="B1672" s="298">
        <v>191.97576000000001</v>
      </c>
      <c r="E1672" s="280">
        <v>82</v>
      </c>
    </row>
    <row r="1673" spans="1:5" x14ac:dyDescent="0.2">
      <c r="A1673" s="228" t="s">
        <v>1877</v>
      </c>
      <c r="B1673" s="298">
        <v>192.97608</v>
      </c>
      <c r="E1673" s="280">
        <v>82</v>
      </c>
    </row>
    <row r="1674" spans="1:5" x14ac:dyDescent="0.2">
      <c r="A1674" s="228" t="s">
        <v>1878</v>
      </c>
      <c r="B1674" s="298">
        <v>193.97397000000001</v>
      </c>
      <c r="E1674" s="280">
        <v>82</v>
      </c>
    </row>
    <row r="1675" spans="1:5" x14ac:dyDescent="0.2">
      <c r="A1675" s="228" t="s">
        <v>1879</v>
      </c>
      <c r="B1675" s="298">
        <v>194.97447099999999</v>
      </c>
      <c r="E1675" s="280">
        <v>82</v>
      </c>
    </row>
    <row r="1676" spans="1:5" x14ac:dyDescent="0.2">
      <c r="A1676" s="228" t="s">
        <v>1880</v>
      </c>
      <c r="B1676" s="298">
        <v>195.97271000000001</v>
      </c>
      <c r="E1676" s="280">
        <v>82</v>
      </c>
    </row>
    <row r="1677" spans="1:5" x14ac:dyDescent="0.2">
      <c r="A1677" s="228" t="s">
        <v>1881</v>
      </c>
      <c r="B1677" s="298">
        <v>196.97337999999999</v>
      </c>
      <c r="E1677" s="280">
        <v>82</v>
      </c>
    </row>
    <row r="1678" spans="1:5" x14ac:dyDescent="0.2">
      <c r="A1678" s="228" t="s">
        <v>1882</v>
      </c>
      <c r="B1678" s="298">
        <v>197.97198</v>
      </c>
      <c r="E1678" s="280">
        <v>82</v>
      </c>
    </row>
    <row r="1679" spans="1:5" x14ac:dyDescent="0.2">
      <c r="A1679" s="228" t="s">
        <v>1883</v>
      </c>
      <c r="B1679" s="298">
        <v>198.97290853300001</v>
      </c>
      <c r="E1679" s="280">
        <v>82</v>
      </c>
    </row>
    <row r="1680" spans="1:5" x14ac:dyDescent="0.2">
      <c r="A1680" s="228" t="s">
        <v>1884</v>
      </c>
      <c r="B1680" s="298">
        <v>199.97181517199999</v>
      </c>
      <c r="C1680" s="280">
        <v>21.5</v>
      </c>
      <c r="D1680" s="280" t="s">
        <v>199</v>
      </c>
      <c r="E1680" s="280">
        <v>82</v>
      </c>
    </row>
    <row r="1681" spans="1:5" x14ac:dyDescent="0.2">
      <c r="A1681" s="228" t="s">
        <v>1885</v>
      </c>
      <c r="B1681" s="298">
        <v>200.97284619300001</v>
      </c>
      <c r="C1681" s="280">
        <v>9.33</v>
      </c>
      <c r="D1681" s="280" t="s">
        <v>199</v>
      </c>
      <c r="E1681" s="280">
        <v>82</v>
      </c>
    </row>
    <row r="1682" spans="1:5" x14ac:dyDescent="0.2">
      <c r="A1682" s="228" t="s">
        <v>1886</v>
      </c>
      <c r="B1682" s="298">
        <v>201.97214340599999</v>
      </c>
      <c r="C1682" s="282">
        <v>53000</v>
      </c>
      <c r="D1682" s="280" t="s">
        <v>249</v>
      </c>
      <c r="E1682" s="280">
        <v>82</v>
      </c>
    </row>
    <row r="1683" spans="1:5" x14ac:dyDescent="0.2">
      <c r="A1683" s="228" t="s">
        <v>1887</v>
      </c>
      <c r="B1683" s="298">
        <v>202.97337539099999</v>
      </c>
      <c r="C1683" s="280">
        <v>2.1615000000000002</v>
      </c>
      <c r="D1683" s="280" t="s">
        <v>192</v>
      </c>
      <c r="E1683" s="280">
        <v>82</v>
      </c>
    </row>
    <row r="1684" spans="1:5" x14ac:dyDescent="0.2">
      <c r="A1684" s="228" t="s">
        <v>1888</v>
      </c>
      <c r="B1684" s="298">
        <v>203.97302837300001</v>
      </c>
      <c r="C1684" s="280">
        <v>1.1200000000000001</v>
      </c>
      <c r="D1684" s="280" t="s">
        <v>199</v>
      </c>
      <c r="E1684" s="280">
        <v>82</v>
      </c>
    </row>
    <row r="1685" spans="1:5" x14ac:dyDescent="0.2">
      <c r="A1685" s="228" t="s">
        <v>1889</v>
      </c>
      <c r="B1685" s="298">
        <v>204.974466737</v>
      </c>
      <c r="C1685" s="282">
        <v>15000000</v>
      </c>
      <c r="D1685" s="280" t="s">
        <v>249</v>
      </c>
      <c r="E1685" s="280">
        <v>82</v>
      </c>
    </row>
    <row r="1686" spans="1:5" x14ac:dyDescent="0.2">
      <c r="A1686" s="228" t="s">
        <v>1890</v>
      </c>
      <c r="B1686" s="298">
        <v>205.974448755</v>
      </c>
      <c r="C1686" s="280">
        <v>0</v>
      </c>
      <c r="E1686" s="280">
        <v>82</v>
      </c>
    </row>
    <row r="1687" spans="1:5" x14ac:dyDescent="0.2">
      <c r="A1687" s="228" t="s">
        <v>1891</v>
      </c>
      <c r="B1687" s="298">
        <v>206.97588036600001</v>
      </c>
      <c r="C1687" s="280">
        <v>0.8</v>
      </c>
      <c r="D1687" s="280" t="s">
        <v>168</v>
      </c>
      <c r="E1687" s="280">
        <v>82</v>
      </c>
    </row>
    <row r="1688" spans="1:5" x14ac:dyDescent="0.2">
      <c r="A1688" s="228" t="s">
        <v>1892</v>
      </c>
      <c r="B1688" s="298">
        <v>207.97663561300001</v>
      </c>
      <c r="C1688" s="280">
        <v>0</v>
      </c>
      <c r="E1688" s="280">
        <v>82</v>
      </c>
    </row>
    <row r="1689" spans="1:5" x14ac:dyDescent="0.2">
      <c r="A1689" s="228" t="s">
        <v>1893</v>
      </c>
      <c r="B1689" s="298">
        <v>208.98107511800001</v>
      </c>
      <c r="C1689" s="280">
        <v>3.25</v>
      </c>
      <c r="D1689" s="280" t="s">
        <v>199</v>
      </c>
      <c r="E1689" s="280">
        <v>82</v>
      </c>
    </row>
    <row r="1690" spans="1:5" x14ac:dyDescent="0.2">
      <c r="A1690" s="228" t="s">
        <v>1894</v>
      </c>
      <c r="B1690" s="298">
        <v>209.98417351699999</v>
      </c>
      <c r="C1690" s="280">
        <v>22.3</v>
      </c>
      <c r="D1690" s="280" t="s">
        <v>249</v>
      </c>
      <c r="E1690" s="280">
        <v>82</v>
      </c>
    </row>
    <row r="1691" spans="1:5" x14ac:dyDescent="0.2">
      <c r="A1691" s="228" t="s">
        <v>1895</v>
      </c>
      <c r="B1691" s="298">
        <v>210.98873166199999</v>
      </c>
      <c r="C1691" s="280">
        <v>36.1</v>
      </c>
      <c r="D1691" s="280" t="s">
        <v>218</v>
      </c>
      <c r="E1691" s="280">
        <v>82</v>
      </c>
    </row>
    <row r="1692" spans="1:5" x14ac:dyDescent="0.2">
      <c r="A1692" s="228" t="s">
        <v>1896</v>
      </c>
      <c r="B1692" s="298">
        <v>211.99188713300001</v>
      </c>
      <c r="C1692" s="280">
        <v>10.64</v>
      </c>
      <c r="D1692" s="280" t="s">
        <v>199</v>
      </c>
      <c r="E1692" s="280">
        <v>82</v>
      </c>
    </row>
    <row r="1693" spans="1:5" x14ac:dyDescent="0.2">
      <c r="A1693" s="228" t="s">
        <v>1897</v>
      </c>
      <c r="B1693" s="298">
        <v>212.99659600000001</v>
      </c>
      <c r="C1693" s="280">
        <v>10.199999999999999</v>
      </c>
      <c r="D1693" s="280" t="s">
        <v>218</v>
      </c>
      <c r="E1693" s="280">
        <v>82</v>
      </c>
    </row>
    <row r="1694" spans="1:5" x14ac:dyDescent="0.2">
      <c r="A1694" s="228" t="s">
        <v>1898</v>
      </c>
      <c r="B1694" s="298">
        <v>213.99979714200001</v>
      </c>
      <c r="C1694" s="280">
        <v>27</v>
      </c>
      <c r="D1694" s="280" t="s">
        <v>218</v>
      </c>
      <c r="E1694" s="280">
        <v>82</v>
      </c>
    </row>
    <row r="1695" spans="1:5" x14ac:dyDescent="0.2">
      <c r="A1695" s="287" t="s">
        <v>1899</v>
      </c>
      <c r="B1695" s="299">
        <v>106.4</v>
      </c>
      <c r="C1695" s="288">
        <v>0</v>
      </c>
      <c r="D1695" s="288">
        <v>0</v>
      </c>
      <c r="E1695" s="288">
        <v>46</v>
      </c>
    </row>
    <row r="1696" spans="1:5" x14ac:dyDescent="0.2">
      <c r="A1696" s="228" t="s">
        <v>1900</v>
      </c>
      <c r="B1696" s="298">
        <v>99.908505499</v>
      </c>
      <c r="E1696" s="280">
        <v>46</v>
      </c>
    </row>
    <row r="1697" spans="1:5" x14ac:dyDescent="0.2">
      <c r="A1697" s="228" t="s">
        <v>1901</v>
      </c>
      <c r="B1697" s="298">
        <v>100.908288516</v>
      </c>
      <c r="E1697" s="280">
        <v>46</v>
      </c>
    </row>
    <row r="1698" spans="1:5" x14ac:dyDescent="0.2">
      <c r="A1698" s="228" t="s">
        <v>1902</v>
      </c>
      <c r="B1698" s="298">
        <v>101.905607113</v>
      </c>
      <c r="E1698" s="280">
        <v>46</v>
      </c>
    </row>
    <row r="1699" spans="1:5" x14ac:dyDescent="0.2">
      <c r="A1699" s="228" t="s">
        <v>1903</v>
      </c>
      <c r="B1699" s="298">
        <v>102.906086581</v>
      </c>
      <c r="E1699" s="280">
        <v>46</v>
      </c>
    </row>
    <row r="1700" spans="1:5" x14ac:dyDescent="0.2">
      <c r="A1700" s="228" t="s">
        <v>1904</v>
      </c>
      <c r="B1700" s="298">
        <v>103.904034169</v>
      </c>
      <c r="E1700" s="280">
        <v>46</v>
      </c>
    </row>
    <row r="1701" spans="1:5" x14ac:dyDescent="0.2">
      <c r="A1701" s="228" t="s">
        <v>1905</v>
      </c>
      <c r="B1701" s="298">
        <v>104.905083303</v>
      </c>
      <c r="E1701" s="280">
        <v>46</v>
      </c>
    </row>
    <row r="1702" spans="1:5" x14ac:dyDescent="0.2">
      <c r="A1702" s="228" t="s">
        <v>1906</v>
      </c>
      <c r="B1702" s="298">
        <v>105.903483526</v>
      </c>
      <c r="E1702" s="280">
        <v>46</v>
      </c>
    </row>
    <row r="1703" spans="1:5" x14ac:dyDescent="0.2">
      <c r="A1703" s="228" t="s">
        <v>1907</v>
      </c>
      <c r="B1703" s="298">
        <v>106.905128566</v>
      </c>
      <c r="E1703" s="280">
        <v>46</v>
      </c>
    </row>
    <row r="1704" spans="1:5" x14ac:dyDescent="0.2">
      <c r="A1704" s="228" t="s">
        <v>1908</v>
      </c>
      <c r="B1704" s="298">
        <v>107.903894794</v>
      </c>
      <c r="E1704" s="280">
        <v>46</v>
      </c>
    </row>
    <row r="1705" spans="1:5" x14ac:dyDescent="0.2">
      <c r="A1705" s="228" t="s">
        <v>1909</v>
      </c>
      <c r="B1705" s="298">
        <v>108.90595387899999</v>
      </c>
      <c r="E1705" s="280">
        <v>46</v>
      </c>
    </row>
    <row r="1706" spans="1:5" x14ac:dyDescent="0.2">
      <c r="A1706" s="228" t="s">
        <v>1910</v>
      </c>
      <c r="B1706" s="298">
        <v>109.90515266</v>
      </c>
      <c r="E1706" s="280">
        <v>46</v>
      </c>
    </row>
    <row r="1707" spans="1:5" x14ac:dyDescent="0.2">
      <c r="A1707" s="228" t="s">
        <v>1911</v>
      </c>
      <c r="B1707" s="298">
        <v>110.90764400400001</v>
      </c>
      <c r="E1707" s="280">
        <v>46</v>
      </c>
    </row>
    <row r="1708" spans="1:5" x14ac:dyDescent="0.2">
      <c r="A1708" s="228" t="s">
        <v>1912</v>
      </c>
      <c r="B1708" s="298">
        <v>111.907313605</v>
      </c>
      <c r="E1708" s="280">
        <v>46</v>
      </c>
    </row>
    <row r="1709" spans="1:5" x14ac:dyDescent="0.2">
      <c r="A1709" s="228" t="s">
        <v>1913</v>
      </c>
      <c r="B1709" s="298">
        <v>112.910151779</v>
      </c>
      <c r="E1709" s="280">
        <v>46</v>
      </c>
    </row>
    <row r="1710" spans="1:5" x14ac:dyDescent="0.2">
      <c r="A1710" s="228" t="s">
        <v>1914</v>
      </c>
      <c r="B1710" s="298">
        <v>113.91036572900001</v>
      </c>
      <c r="E1710" s="280">
        <v>46</v>
      </c>
    </row>
    <row r="1711" spans="1:5" x14ac:dyDescent="0.2">
      <c r="A1711" s="228" t="s">
        <v>1915</v>
      </c>
      <c r="B1711" s="298">
        <v>114.913683844</v>
      </c>
      <c r="E1711" s="280">
        <v>46</v>
      </c>
    </row>
    <row r="1712" spans="1:5" x14ac:dyDescent="0.2">
      <c r="A1712" s="228" t="s">
        <v>1916</v>
      </c>
      <c r="B1712" s="298">
        <v>115.914167377</v>
      </c>
      <c r="E1712" s="280">
        <v>46</v>
      </c>
    </row>
    <row r="1713" spans="1:5" x14ac:dyDescent="0.2">
      <c r="A1713" s="228" t="s">
        <v>1917</v>
      </c>
      <c r="B1713" s="298">
        <v>116.91784</v>
      </c>
      <c r="E1713" s="280">
        <v>46</v>
      </c>
    </row>
    <row r="1714" spans="1:5" x14ac:dyDescent="0.2">
      <c r="A1714" s="228" t="s">
        <v>1918</v>
      </c>
      <c r="B1714" s="298">
        <v>117.918900319</v>
      </c>
      <c r="E1714" s="280">
        <v>46</v>
      </c>
    </row>
    <row r="1715" spans="1:5" x14ac:dyDescent="0.2">
      <c r="A1715" s="228" t="s">
        <v>1919</v>
      </c>
      <c r="B1715" s="298">
        <v>118.92268</v>
      </c>
      <c r="E1715" s="280">
        <v>46</v>
      </c>
    </row>
    <row r="1716" spans="1:5" x14ac:dyDescent="0.2">
      <c r="A1716" s="228" t="s">
        <v>1920</v>
      </c>
      <c r="B1716" s="298">
        <v>119.92403</v>
      </c>
      <c r="E1716" s="280">
        <v>46</v>
      </c>
    </row>
    <row r="1717" spans="1:5" x14ac:dyDescent="0.2">
      <c r="A1717" s="228" t="s">
        <v>1921</v>
      </c>
      <c r="B1717" s="298">
        <v>120.92818</v>
      </c>
      <c r="E1717" s="280">
        <v>46</v>
      </c>
    </row>
    <row r="1718" spans="1:5" x14ac:dyDescent="0.2">
      <c r="A1718" s="228" t="s">
        <v>1922</v>
      </c>
      <c r="B1718" s="298">
        <v>93.92877</v>
      </c>
      <c r="E1718" s="280">
        <v>46</v>
      </c>
    </row>
    <row r="1719" spans="1:5" x14ac:dyDescent="0.2">
      <c r="A1719" s="228" t="s">
        <v>1923</v>
      </c>
      <c r="B1719" s="298">
        <v>94.924689999999998</v>
      </c>
      <c r="E1719" s="280">
        <v>46</v>
      </c>
    </row>
    <row r="1720" spans="1:5" x14ac:dyDescent="0.2">
      <c r="A1720" s="228" t="s">
        <v>1924</v>
      </c>
      <c r="B1720" s="298">
        <v>95.918227814000005</v>
      </c>
      <c r="E1720" s="280">
        <v>46</v>
      </c>
    </row>
    <row r="1721" spans="1:5" x14ac:dyDescent="0.2">
      <c r="A1721" s="228" t="s">
        <v>1925</v>
      </c>
      <c r="B1721" s="298">
        <v>96.916484795000002</v>
      </c>
      <c r="E1721" s="280">
        <v>46</v>
      </c>
    </row>
    <row r="1722" spans="1:5" x14ac:dyDescent="0.2">
      <c r="A1722" s="228" t="s">
        <v>1926</v>
      </c>
      <c r="B1722" s="298">
        <v>97.912726625000005</v>
      </c>
      <c r="E1722" s="280">
        <v>46</v>
      </c>
    </row>
    <row r="1723" spans="1:5" x14ac:dyDescent="0.2">
      <c r="A1723" s="228" t="s">
        <v>1927</v>
      </c>
      <c r="B1723" s="298">
        <v>98.911808981000007</v>
      </c>
      <c r="E1723" s="280">
        <v>46</v>
      </c>
    </row>
    <row r="1724" spans="1:5" x14ac:dyDescent="0.2">
      <c r="A1724" s="287" t="s">
        <v>1928</v>
      </c>
      <c r="B1724" s="299">
        <v>145</v>
      </c>
      <c r="C1724" s="288">
        <v>0</v>
      </c>
      <c r="D1724" s="288">
        <v>0</v>
      </c>
      <c r="E1724" s="288">
        <v>61</v>
      </c>
    </row>
    <row r="1725" spans="1:5" x14ac:dyDescent="0.2">
      <c r="A1725" s="228" t="s">
        <v>1929</v>
      </c>
      <c r="B1725" s="298">
        <v>129.94045</v>
      </c>
      <c r="E1725" s="280">
        <v>61</v>
      </c>
    </row>
    <row r="1726" spans="1:5" x14ac:dyDescent="0.2">
      <c r="A1726" s="228" t="s">
        <v>1930</v>
      </c>
      <c r="B1726" s="298">
        <v>130.9358</v>
      </c>
      <c r="E1726" s="280">
        <v>61</v>
      </c>
    </row>
    <row r="1727" spans="1:5" x14ac:dyDescent="0.2">
      <c r="A1727" s="228" t="s">
        <v>1931</v>
      </c>
      <c r="B1727" s="298">
        <v>131.93375</v>
      </c>
      <c r="E1727" s="280">
        <v>61</v>
      </c>
    </row>
    <row r="1728" spans="1:5" x14ac:dyDescent="0.2">
      <c r="A1728" s="228" t="s">
        <v>1932</v>
      </c>
      <c r="B1728" s="298">
        <v>132.92972</v>
      </c>
      <c r="E1728" s="280">
        <v>61</v>
      </c>
    </row>
    <row r="1729" spans="1:5" x14ac:dyDescent="0.2">
      <c r="A1729" s="228" t="s">
        <v>1933</v>
      </c>
      <c r="B1729" s="298">
        <v>133.9282</v>
      </c>
      <c r="E1729" s="280">
        <v>61</v>
      </c>
    </row>
    <row r="1730" spans="1:5" x14ac:dyDescent="0.2">
      <c r="A1730" s="228" t="s">
        <v>1934</v>
      </c>
      <c r="B1730" s="298">
        <v>134.9247</v>
      </c>
      <c r="E1730" s="280">
        <v>61</v>
      </c>
    </row>
    <row r="1731" spans="1:5" x14ac:dyDescent="0.2">
      <c r="A1731" s="228" t="s">
        <v>1935</v>
      </c>
      <c r="B1731" s="298">
        <v>135.92344858800001</v>
      </c>
      <c r="E1731" s="280">
        <v>61</v>
      </c>
    </row>
    <row r="1732" spans="1:5" x14ac:dyDescent="0.2">
      <c r="A1732" s="228" t="s">
        <v>1936</v>
      </c>
      <c r="B1732" s="298">
        <v>136.92062999999999</v>
      </c>
      <c r="E1732" s="280">
        <v>61</v>
      </c>
    </row>
    <row r="1733" spans="1:5" x14ac:dyDescent="0.2">
      <c r="A1733" s="228" t="s">
        <v>1937</v>
      </c>
      <c r="B1733" s="298">
        <v>137.91933800000001</v>
      </c>
      <c r="E1733" s="280">
        <v>61</v>
      </c>
    </row>
    <row r="1734" spans="1:5" x14ac:dyDescent="0.2">
      <c r="A1734" s="228" t="s">
        <v>1938</v>
      </c>
      <c r="B1734" s="298">
        <v>138.916778956</v>
      </c>
      <c r="E1734" s="280">
        <v>61</v>
      </c>
    </row>
    <row r="1735" spans="1:5" x14ac:dyDescent="0.2">
      <c r="A1735" s="228" t="s">
        <v>1939</v>
      </c>
      <c r="B1735" s="298">
        <v>139.915846848</v>
      </c>
      <c r="E1735" s="280">
        <v>61</v>
      </c>
    </row>
    <row r="1736" spans="1:5" x14ac:dyDescent="0.2">
      <c r="A1736" s="228" t="s">
        <v>1940</v>
      </c>
      <c r="B1736" s="298">
        <v>140.91359366099999</v>
      </c>
      <c r="E1736" s="280">
        <v>61</v>
      </c>
    </row>
    <row r="1737" spans="1:5" x14ac:dyDescent="0.2">
      <c r="A1737" s="228" t="s">
        <v>1941</v>
      </c>
      <c r="B1737" s="298">
        <v>141.91295135799999</v>
      </c>
      <c r="E1737" s="280">
        <v>61</v>
      </c>
    </row>
    <row r="1738" spans="1:5" x14ac:dyDescent="0.2">
      <c r="A1738" s="228" t="s">
        <v>1942</v>
      </c>
      <c r="B1738" s="298">
        <v>142.91092827400001</v>
      </c>
      <c r="E1738" s="280">
        <v>61</v>
      </c>
    </row>
    <row r="1739" spans="1:5" x14ac:dyDescent="0.2">
      <c r="A1739" s="228" t="s">
        <v>1943</v>
      </c>
      <c r="B1739" s="298">
        <v>143.91258648900001</v>
      </c>
      <c r="E1739" s="280">
        <v>61</v>
      </c>
    </row>
    <row r="1740" spans="1:5" x14ac:dyDescent="0.2">
      <c r="A1740" s="228" t="s">
        <v>1944</v>
      </c>
      <c r="B1740" s="298">
        <v>144.912744629</v>
      </c>
      <c r="E1740" s="280">
        <v>61</v>
      </c>
    </row>
    <row r="1741" spans="1:5" x14ac:dyDescent="0.2">
      <c r="A1741" s="228" t="s">
        <v>1945</v>
      </c>
      <c r="B1741" s="298">
        <v>145.91469292299999</v>
      </c>
      <c r="E1741" s="280">
        <v>61</v>
      </c>
    </row>
    <row r="1742" spans="1:5" x14ac:dyDescent="0.2">
      <c r="A1742" s="228" t="s">
        <v>1946</v>
      </c>
      <c r="B1742" s="298">
        <v>146.91513438199999</v>
      </c>
      <c r="E1742" s="280">
        <v>61</v>
      </c>
    </row>
    <row r="1743" spans="1:5" x14ac:dyDescent="0.2">
      <c r="A1743" s="228" t="s">
        <v>1947</v>
      </c>
      <c r="B1743" s="298">
        <v>147.91746811600001</v>
      </c>
      <c r="E1743" s="280">
        <v>61</v>
      </c>
    </row>
    <row r="1744" spans="1:5" x14ac:dyDescent="0.2">
      <c r="A1744" s="228" t="s">
        <v>1948</v>
      </c>
      <c r="B1744" s="298">
        <v>148.91832965099999</v>
      </c>
      <c r="E1744" s="280">
        <v>61</v>
      </c>
    </row>
    <row r="1745" spans="1:5" x14ac:dyDescent="0.2">
      <c r="A1745" s="228" t="s">
        <v>1949</v>
      </c>
      <c r="B1745" s="298">
        <v>149.92097983900001</v>
      </c>
      <c r="E1745" s="280">
        <v>61</v>
      </c>
    </row>
    <row r="1746" spans="1:5" x14ac:dyDescent="0.2">
      <c r="A1746" s="228" t="s">
        <v>1950</v>
      </c>
      <c r="B1746" s="298">
        <v>150.921203115</v>
      </c>
      <c r="E1746" s="280">
        <v>61</v>
      </c>
    </row>
    <row r="1747" spans="1:5" x14ac:dyDescent="0.2">
      <c r="A1747" s="228" t="s">
        <v>1951</v>
      </c>
      <c r="B1747" s="298">
        <v>151.92349106399999</v>
      </c>
      <c r="E1747" s="280">
        <v>61</v>
      </c>
    </row>
    <row r="1748" spans="1:5" x14ac:dyDescent="0.2">
      <c r="A1748" s="228" t="s">
        <v>1952</v>
      </c>
      <c r="B1748" s="298">
        <v>152.92413456</v>
      </c>
      <c r="E1748" s="280">
        <v>61</v>
      </c>
    </row>
    <row r="1749" spans="1:5" x14ac:dyDescent="0.2">
      <c r="A1749" s="228" t="s">
        <v>1953</v>
      </c>
      <c r="B1749" s="298">
        <v>153.926558008</v>
      </c>
      <c r="E1749" s="280">
        <v>61</v>
      </c>
    </row>
    <row r="1750" spans="1:5" x14ac:dyDescent="0.2">
      <c r="A1750" s="228" t="s">
        <v>1954</v>
      </c>
      <c r="B1750" s="298">
        <v>154.92804000000001</v>
      </c>
      <c r="E1750" s="280">
        <v>61</v>
      </c>
    </row>
    <row r="1751" spans="1:5" x14ac:dyDescent="0.2">
      <c r="A1751" s="228" t="s">
        <v>1955</v>
      </c>
      <c r="B1751" s="298">
        <v>155.931060562</v>
      </c>
      <c r="E1751" s="280">
        <v>61</v>
      </c>
    </row>
    <row r="1752" spans="1:5" x14ac:dyDescent="0.2">
      <c r="A1752" s="228" t="s">
        <v>1956</v>
      </c>
      <c r="B1752" s="298">
        <v>156.9332</v>
      </c>
      <c r="E1752" s="280">
        <v>61</v>
      </c>
    </row>
    <row r="1753" spans="1:5" x14ac:dyDescent="0.2">
      <c r="A1753" s="228" t="s">
        <v>1957</v>
      </c>
      <c r="B1753" s="298">
        <v>157.93669</v>
      </c>
      <c r="E1753" s="280">
        <v>61</v>
      </c>
    </row>
    <row r="1754" spans="1:5" x14ac:dyDescent="0.2">
      <c r="A1754" s="228" t="s">
        <v>1958</v>
      </c>
      <c r="B1754" s="298">
        <v>158.9393</v>
      </c>
      <c r="E1754" s="280">
        <v>61</v>
      </c>
    </row>
    <row r="1755" spans="1:5" x14ac:dyDescent="0.2">
      <c r="A1755" s="287" t="s">
        <v>1959</v>
      </c>
      <c r="B1755" s="299">
        <v>209</v>
      </c>
      <c r="C1755" s="288">
        <v>0</v>
      </c>
      <c r="D1755" s="288">
        <v>0</v>
      </c>
      <c r="E1755" s="288">
        <v>84</v>
      </c>
    </row>
    <row r="1756" spans="1:5" x14ac:dyDescent="0.2">
      <c r="A1756" s="228" t="s">
        <v>1960</v>
      </c>
      <c r="B1756" s="298">
        <v>189.99510900000001</v>
      </c>
      <c r="E1756" s="280">
        <v>84</v>
      </c>
    </row>
    <row r="1757" spans="1:5" x14ac:dyDescent="0.2">
      <c r="A1757" s="228" t="s">
        <v>1961</v>
      </c>
      <c r="B1757" s="298">
        <v>190.994483</v>
      </c>
      <c r="E1757" s="280">
        <v>84</v>
      </c>
    </row>
    <row r="1758" spans="1:5" x14ac:dyDescent="0.2">
      <c r="A1758" s="228" t="s">
        <v>1962</v>
      </c>
      <c r="B1758" s="298">
        <v>191.99152100000001</v>
      </c>
      <c r="E1758" s="280">
        <v>84</v>
      </c>
    </row>
    <row r="1759" spans="1:5" x14ac:dyDescent="0.2">
      <c r="A1759" s="228" t="s">
        <v>1963</v>
      </c>
      <c r="B1759" s="298">
        <v>192.99110200000001</v>
      </c>
      <c r="E1759" s="280">
        <v>84</v>
      </c>
    </row>
    <row r="1760" spans="1:5" x14ac:dyDescent="0.2">
      <c r="A1760" s="228" t="s">
        <v>1964</v>
      </c>
      <c r="B1760" s="298">
        <v>193.98828323999999</v>
      </c>
      <c r="E1760" s="280">
        <v>84</v>
      </c>
    </row>
    <row r="1761" spans="1:5" x14ac:dyDescent="0.2">
      <c r="A1761" s="228" t="s">
        <v>1965</v>
      </c>
      <c r="B1761" s="298">
        <v>194.988045</v>
      </c>
      <c r="E1761" s="280">
        <v>84</v>
      </c>
    </row>
    <row r="1762" spans="1:5" x14ac:dyDescent="0.2">
      <c r="A1762" s="228" t="s">
        <v>1966</v>
      </c>
      <c r="B1762" s="298">
        <v>195.98551</v>
      </c>
      <c r="E1762" s="280">
        <v>84</v>
      </c>
    </row>
    <row r="1763" spans="1:5" x14ac:dyDescent="0.2">
      <c r="A1763" s="228" t="s">
        <v>1967</v>
      </c>
      <c r="B1763" s="298">
        <v>196.985567</v>
      </c>
      <c r="E1763" s="280">
        <v>84</v>
      </c>
    </row>
    <row r="1764" spans="1:5" x14ac:dyDescent="0.2">
      <c r="A1764" s="228" t="s">
        <v>1968</v>
      </c>
      <c r="B1764" s="298">
        <v>197.98334600000001</v>
      </c>
      <c r="E1764" s="280">
        <v>84</v>
      </c>
    </row>
    <row r="1765" spans="1:5" x14ac:dyDescent="0.2">
      <c r="A1765" s="228" t="s">
        <v>1969</v>
      </c>
      <c r="B1765" s="298">
        <v>198.98359500000001</v>
      </c>
      <c r="E1765" s="280">
        <v>84</v>
      </c>
    </row>
    <row r="1766" spans="1:5" x14ac:dyDescent="0.2">
      <c r="A1766" s="228" t="s">
        <v>1970</v>
      </c>
      <c r="B1766" s="298">
        <v>199.98173499999999</v>
      </c>
      <c r="E1766" s="280">
        <v>84</v>
      </c>
    </row>
    <row r="1767" spans="1:5" x14ac:dyDescent="0.2">
      <c r="A1767" s="228" t="s">
        <v>1971</v>
      </c>
      <c r="B1767" s="298">
        <v>200.98220900000001</v>
      </c>
      <c r="E1767" s="280">
        <v>84</v>
      </c>
    </row>
    <row r="1768" spans="1:5" x14ac:dyDescent="0.2">
      <c r="A1768" s="228" t="s">
        <v>1972</v>
      </c>
      <c r="B1768" s="298">
        <v>201.980704</v>
      </c>
      <c r="E1768" s="280">
        <v>84</v>
      </c>
    </row>
    <row r="1769" spans="1:5" x14ac:dyDescent="0.2">
      <c r="A1769" s="228" t="s">
        <v>1973</v>
      </c>
      <c r="B1769" s="298">
        <v>202.98141201199999</v>
      </c>
      <c r="E1769" s="280">
        <v>84</v>
      </c>
    </row>
    <row r="1770" spans="1:5" x14ac:dyDescent="0.2">
      <c r="A1770" s="228" t="s">
        <v>1974</v>
      </c>
      <c r="B1770" s="298">
        <v>203.98030672499999</v>
      </c>
      <c r="E1770" s="280">
        <v>84</v>
      </c>
    </row>
    <row r="1771" spans="1:5" x14ac:dyDescent="0.2">
      <c r="A1771" s="228" t="s">
        <v>1975</v>
      </c>
      <c r="B1771" s="298">
        <v>204.981165</v>
      </c>
      <c r="C1771" s="280">
        <v>1.7</v>
      </c>
      <c r="D1771" s="280" t="s">
        <v>199</v>
      </c>
      <c r="E1771" s="280">
        <v>84</v>
      </c>
    </row>
    <row r="1772" spans="1:5" x14ac:dyDescent="0.2">
      <c r="A1772" s="228" t="s">
        <v>1976</v>
      </c>
      <c r="B1772" s="298">
        <v>205.980464861</v>
      </c>
      <c r="C1772" s="280">
        <v>8.8000000000000007</v>
      </c>
      <c r="D1772" s="280" t="s">
        <v>192</v>
      </c>
      <c r="E1772" s="280">
        <v>84</v>
      </c>
    </row>
    <row r="1773" spans="1:5" x14ac:dyDescent="0.2">
      <c r="A1773" s="228" t="s">
        <v>1977</v>
      </c>
      <c r="B1773" s="298">
        <v>206.98157813200001</v>
      </c>
      <c r="C1773" s="280">
        <v>5.8</v>
      </c>
      <c r="D1773" s="280" t="s">
        <v>199</v>
      </c>
      <c r="E1773" s="280">
        <v>84</v>
      </c>
    </row>
    <row r="1774" spans="1:5" x14ac:dyDescent="0.2">
      <c r="A1774" s="228" t="s">
        <v>1978</v>
      </c>
      <c r="B1774" s="298">
        <v>207.98123067099999</v>
      </c>
      <c r="C1774" s="280">
        <v>2.8980000000000001</v>
      </c>
      <c r="D1774" s="280" t="s">
        <v>195</v>
      </c>
      <c r="E1774" s="280">
        <v>84</v>
      </c>
    </row>
    <row r="1775" spans="1:5" x14ac:dyDescent="0.2">
      <c r="A1775" s="228" t="s">
        <v>1979</v>
      </c>
      <c r="B1775" s="298">
        <v>208.98241541199999</v>
      </c>
      <c r="C1775" s="280">
        <v>102</v>
      </c>
      <c r="D1775" s="280" t="s">
        <v>249</v>
      </c>
      <c r="E1775" s="280">
        <v>84</v>
      </c>
    </row>
    <row r="1776" spans="1:5" x14ac:dyDescent="0.2">
      <c r="A1776" s="228" t="s">
        <v>1980</v>
      </c>
      <c r="B1776" s="298">
        <v>209.98285715200001</v>
      </c>
      <c r="C1776" s="280">
        <v>138.38</v>
      </c>
      <c r="D1776" s="280" t="s">
        <v>192</v>
      </c>
      <c r="E1776" s="280">
        <v>84</v>
      </c>
    </row>
    <row r="1777" spans="1:5" x14ac:dyDescent="0.2">
      <c r="A1777" s="228" t="s">
        <v>1981</v>
      </c>
      <c r="B1777" s="298">
        <v>210.98663662999999</v>
      </c>
      <c r="C1777" s="280">
        <v>25.2</v>
      </c>
      <c r="D1777" s="280" t="s">
        <v>168</v>
      </c>
      <c r="E1777" s="280">
        <v>84</v>
      </c>
    </row>
    <row r="1778" spans="1:5" x14ac:dyDescent="0.2">
      <c r="A1778" s="228" t="s">
        <v>1982</v>
      </c>
      <c r="B1778" s="298">
        <v>211.98885151799999</v>
      </c>
      <c r="C1778" s="280">
        <v>45</v>
      </c>
      <c r="D1778" s="280" t="s">
        <v>168</v>
      </c>
      <c r="E1778" s="280">
        <v>84</v>
      </c>
    </row>
    <row r="1779" spans="1:5" x14ac:dyDescent="0.2">
      <c r="A1779" s="228" t="s">
        <v>1983</v>
      </c>
      <c r="B1779" s="298">
        <v>212.992842763</v>
      </c>
      <c r="C1779" s="280">
        <v>4</v>
      </c>
      <c r="D1779" s="280" t="s">
        <v>189</v>
      </c>
      <c r="E1779" s="280">
        <v>84</v>
      </c>
    </row>
    <row r="1780" spans="1:5" x14ac:dyDescent="0.2">
      <c r="A1780" s="228" t="s">
        <v>1984</v>
      </c>
      <c r="B1780" s="298">
        <v>213.99518633700001</v>
      </c>
      <c r="C1780" s="280">
        <v>163.69999999999999</v>
      </c>
      <c r="D1780" s="280" t="s">
        <v>189</v>
      </c>
      <c r="E1780" s="280">
        <v>84</v>
      </c>
    </row>
    <row r="1781" spans="1:5" x14ac:dyDescent="0.2">
      <c r="A1781" s="228" t="s">
        <v>1985</v>
      </c>
      <c r="B1781" s="298">
        <v>214.99941480000001</v>
      </c>
      <c r="C1781" s="280">
        <v>1.78</v>
      </c>
      <c r="D1781" s="280" t="s">
        <v>184</v>
      </c>
      <c r="E1781" s="280">
        <v>84</v>
      </c>
    </row>
    <row r="1782" spans="1:5" x14ac:dyDescent="0.2">
      <c r="A1782" s="228" t="s">
        <v>1986</v>
      </c>
      <c r="B1782" s="298">
        <v>216.001904833</v>
      </c>
      <c r="C1782" s="280">
        <v>0.14499999999999999</v>
      </c>
      <c r="D1782" s="280" t="s">
        <v>168</v>
      </c>
      <c r="E1782" s="280">
        <v>84</v>
      </c>
    </row>
    <row r="1783" spans="1:5" x14ac:dyDescent="0.2">
      <c r="A1783" s="228" t="s">
        <v>1987</v>
      </c>
      <c r="B1783" s="298">
        <v>217.006349</v>
      </c>
      <c r="C1783" s="280">
        <v>10</v>
      </c>
      <c r="D1783" s="280" t="s">
        <v>168</v>
      </c>
      <c r="E1783" s="280">
        <v>84</v>
      </c>
    </row>
    <row r="1784" spans="1:5" x14ac:dyDescent="0.2">
      <c r="A1784" s="228" t="s">
        <v>1988</v>
      </c>
      <c r="B1784" s="298">
        <v>218.008964768</v>
      </c>
      <c r="C1784" s="280">
        <v>3.1</v>
      </c>
      <c r="D1784" s="280" t="s">
        <v>218</v>
      </c>
      <c r="E1784" s="280">
        <v>84</v>
      </c>
    </row>
    <row r="1785" spans="1:5" x14ac:dyDescent="0.2">
      <c r="A1785" s="287" t="s">
        <v>1989</v>
      </c>
      <c r="B1785" s="299">
        <v>140.90770000000001</v>
      </c>
      <c r="C1785" s="288">
        <v>0</v>
      </c>
      <c r="D1785" s="288">
        <v>0</v>
      </c>
      <c r="E1785" s="288">
        <v>59</v>
      </c>
    </row>
    <row r="1786" spans="1:5" x14ac:dyDescent="0.2">
      <c r="A1786" s="228" t="s">
        <v>1990</v>
      </c>
      <c r="B1786" s="298">
        <v>123.94307999999999</v>
      </c>
      <c r="E1786" s="280">
        <v>59</v>
      </c>
    </row>
    <row r="1787" spans="1:5" x14ac:dyDescent="0.2">
      <c r="A1787" s="228" t="s">
        <v>1991</v>
      </c>
      <c r="B1787" s="298">
        <v>124.93794</v>
      </c>
      <c r="E1787" s="280">
        <v>59</v>
      </c>
    </row>
    <row r="1788" spans="1:5" x14ac:dyDescent="0.2">
      <c r="A1788" s="228" t="s">
        <v>1992</v>
      </c>
      <c r="B1788" s="298">
        <v>125.93531</v>
      </c>
      <c r="E1788" s="280">
        <v>59</v>
      </c>
    </row>
    <row r="1789" spans="1:5" x14ac:dyDescent="0.2">
      <c r="A1789" s="228" t="s">
        <v>1993</v>
      </c>
      <c r="B1789" s="298">
        <v>126.93083</v>
      </c>
      <c r="E1789" s="280">
        <v>59</v>
      </c>
    </row>
    <row r="1790" spans="1:5" x14ac:dyDescent="0.2">
      <c r="A1790" s="228" t="s">
        <v>1994</v>
      </c>
      <c r="B1790" s="298">
        <v>127.9288</v>
      </c>
      <c r="E1790" s="280">
        <v>59</v>
      </c>
    </row>
    <row r="1791" spans="1:5" x14ac:dyDescent="0.2">
      <c r="A1791" s="228" t="s">
        <v>1995</v>
      </c>
      <c r="B1791" s="298">
        <v>128.92486</v>
      </c>
      <c r="E1791" s="280">
        <v>59</v>
      </c>
    </row>
    <row r="1792" spans="1:5" x14ac:dyDescent="0.2">
      <c r="A1792" s="228" t="s">
        <v>1996</v>
      </c>
      <c r="B1792" s="298">
        <v>129.92338000000001</v>
      </c>
      <c r="E1792" s="280">
        <v>59</v>
      </c>
    </row>
    <row r="1793" spans="1:5" x14ac:dyDescent="0.2">
      <c r="A1793" s="228" t="s">
        <v>1997</v>
      </c>
      <c r="B1793" s="298">
        <v>130.92006069300001</v>
      </c>
      <c r="E1793" s="280">
        <v>59</v>
      </c>
    </row>
    <row r="1794" spans="1:5" x14ac:dyDescent="0.2">
      <c r="A1794" s="228" t="s">
        <v>1998</v>
      </c>
      <c r="B1794" s="298">
        <v>131.91911999999999</v>
      </c>
      <c r="E1794" s="280">
        <v>59</v>
      </c>
    </row>
    <row r="1795" spans="1:5" x14ac:dyDescent="0.2">
      <c r="A1795" s="228" t="s">
        <v>1999</v>
      </c>
      <c r="B1795" s="298">
        <v>132.9162</v>
      </c>
      <c r="E1795" s="280">
        <v>59</v>
      </c>
    </row>
    <row r="1796" spans="1:5" x14ac:dyDescent="0.2">
      <c r="A1796" s="228" t="s">
        <v>2000</v>
      </c>
      <c r="B1796" s="298">
        <v>133.91569000000001</v>
      </c>
      <c r="E1796" s="280">
        <v>59</v>
      </c>
    </row>
    <row r="1797" spans="1:5" x14ac:dyDescent="0.2">
      <c r="A1797" s="228" t="s">
        <v>2001</v>
      </c>
      <c r="B1797" s="298">
        <v>134.91314022399999</v>
      </c>
      <c r="E1797" s="280">
        <v>59</v>
      </c>
    </row>
    <row r="1798" spans="1:5" x14ac:dyDescent="0.2">
      <c r="A1798" s="228" t="s">
        <v>2002</v>
      </c>
      <c r="B1798" s="298">
        <v>135.912647658</v>
      </c>
      <c r="E1798" s="280">
        <v>59</v>
      </c>
    </row>
    <row r="1799" spans="1:5" x14ac:dyDescent="0.2">
      <c r="A1799" s="228" t="s">
        <v>2003</v>
      </c>
      <c r="B1799" s="298">
        <v>136.910679074</v>
      </c>
      <c r="E1799" s="280">
        <v>59</v>
      </c>
    </row>
    <row r="1800" spans="1:5" x14ac:dyDescent="0.2">
      <c r="A1800" s="228" t="s">
        <v>2004</v>
      </c>
      <c r="B1800" s="298">
        <v>137.910749614</v>
      </c>
      <c r="E1800" s="280">
        <v>59</v>
      </c>
    </row>
    <row r="1801" spans="1:5" x14ac:dyDescent="0.2">
      <c r="A1801" s="228" t="s">
        <v>2005</v>
      </c>
      <c r="B1801" s="298">
        <v>138.908932956</v>
      </c>
      <c r="E1801" s="280">
        <v>59</v>
      </c>
    </row>
    <row r="1802" spans="1:5" x14ac:dyDescent="0.2">
      <c r="A1802" s="228" t="s">
        <v>2006</v>
      </c>
      <c r="B1802" s="298">
        <v>139.90907192700001</v>
      </c>
      <c r="E1802" s="280">
        <v>59</v>
      </c>
    </row>
    <row r="1803" spans="1:5" x14ac:dyDescent="0.2">
      <c r="A1803" s="228" t="s">
        <v>2007</v>
      </c>
      <c r="B1803" s="298">
        <v>140.90764840400001</v>
      </c>
      <c r="E1803" s="280">
        <v>59</v>
      </c>
    </row>
    <row r="1804" spans="1:5" x14ac:dyDescent="0.2">
      <c r="A1804" s="228" t="s">
        <v>2008</v>
      </c>
      <c r="B1804" s="298">
        <v>141.91004054300001</v>
      </c>
      <c r="E1804" s="280">
        <v>59</v>
      </c>
    </row>
    <row r="1805" spans="1:5" x14ac:dyDescent="0.2">
      <c r="A1805" s="228" t="s">
        <v>2009</v>
      </c>
      <c r="B1805" s="298">
        <v>142.91081292199999</v>
      </c>
      <c r="E1805" s="280">
        <v>59</v>
      </c>
    </row>
    <row r="1806" spans="1:5" x14ac:dyDescent="0.2">
      <c r="A1806" s="228" t="s">
        <v>2010</v>
      </c>
      <c r="B1806" s="298">
        <v>143.91330121499999</v>
      </c>
      <c r="E1806" s="280">
        <v>59</v>
      </c>
    </row>
    <row r="1807" spans="1:5" x14ac:dyDescent="0.2">
      <c r="A1807" s="228" t="s">
        <v>2011</v>
      </c>
      <c r="B1807" s="298">
        <v>144.914507544</v>
      </c>
      <c r="E1807" s="280">
        <v>59</v>
      </c>
    </row>
    <row r="1808" spans="1:5" x14ac:dyDescent="0.2">
      <c r="A1808" s="228" t="s">
        <v>2012</v>
      </c>
      <c r="B1808" s="298">
        <v>145.91761747499999</v>
      </c>
      <c r="E1808" s="280">
        <v>59</v>
      </c>
    </row>
    <row r="1809" spans="1:5" x14ac:dyDescent="0.2">
      <c r="A1809" s="228" t="s">
        <v>2013</v>
      </c>
      <c r="B1809" s="298">
        <v>146.91897957500001</v>
      </c>
      <c r="E1809" s="280">
        <v>59</v>
      </c>
    </row>
    <row r="1810" spans="1:5" x14ac:dyDescent="0.2">
      <c r="A1810" s="228" t="s">
        <v>2014</v>
      </c>
      <c r="B1810" s="298">
        <v>147.92218379400001</v>
      </c>
      <c r="E1810" s="280">
        <v>59</v>
      </c>
    </row>
    <row r="1811" spans="1:5" x14ac:dyDescent="0.2">
      <c r="A1811" s="228" t="s">
        <v>2015</v>
      </c>
      <c r="B1811" s="298">
        <v>148.92379149300001</v>
      </c>
      <c r="E1811" s="280">
        <v>59</v>
      </c>
    </row>
    <row r="1812" spans="1:5" x14ac:dyDescent="0.2">
      <c r="A1812" s="228" t="s">
        <v>2016</v>
      </c>
      <c r="B1812" s="298">
        <v>149.926995468</v>
      </c>
      <c r="E1812" s="280">
        <v>59</v>
      </c>
    </row>
    <row r="1813" spans="1:5" x14ac:dyDescent="0.2">
      <c r="A1813" s="228" t="s">
        <v>2017</v>
      </c>
      <c r="B1813" s="298">
        <v>150.92830185599999</v>
      </c>
      <c r="E1813" s="280">
        <v>59</v>
      </c>
    </row>
    <row r="1814" spans="1:5" x14ac:dyDescent="0.2">
      <c r="A1814" s="228" t="s">
        <v>2018</v>
      </c>
      <c r="B1814" s="298">
        <v>151.93187</v>
      </c>
      <c r="E1814" s="280">
        <v>59</v>
      </c>
    </row>
    <row r="1815" spans="1:5" x14ac:dyDescent="0.2">
      <c r="A1815" s="228" t="s">
        <v>2019</v>
      </c>
      <c r="B1815" s="298">
        <v>152.93393</v>
      </c>
      <c r="E1815" s="280">
        <v>59</v>
      </c>
    </row>
    <row r="1816" spans="1:5" x14ac:dyDescent="0.2">
      <c r="A1816" s="228" t="s">
        <v>2020</v>
      </c>
      <c r="B1816" s="298">
        <v>153.93806000000001</v>
      </c>
      <c r="E1816" s="280">
        <v>59</v>
      </c>
    </row>
    <row r="1817" spans="1:5" x14ac:dyDescent="0.2">
      <c r="A1817" s="228" t="s">
        <v>2021</v>
      </c>
      <c r="B1817" s="298">
        <v>154.94058999999999</v>
      </c>
      <c r="E1817" s="280">
        <v>59</v>
      </c>
    </row>
    <row r="1818" spans="1:5" x14ac:dyDescent="0.2">
      <c r="A1818" s="287" t="s">
        <v>2022</v>
      </c>
      <c r="B1818" s="299">
        <v>195.09</v>
      </c>
      <c r="C1818" s="288">
        <v>0</v>
      </c>
      <c r="D1818" s="288">
        <v>0</v>
      </c>
      <c r="E1818" s="288">
        <v>78</v>
      </c>
    </row>
    <row r="1819" spans="1:5" x14ac:dyDescent="0.2">
      <c r="A1819" s="228" t="s">
        <v>2023</v>
      </c>
      <c r="B1819" s="298">
        <v>167.988035</v>
      </c>
      <c r="E1819" s="280">
        <v>78</v>
      </c>
    </row>
    <row r="1820" spans="1:5" x14ac:dyDescent="0.2">
      <c r="A1820" s="228" t="s">
        <v>2024</v>
      </c>
      <c r="B1820" s="298">
        <v>168.98642100000001</v>
      </c>
      <c r="E1820" s="280">
        <v>78</v>
      </c>
    </row>
    <row r="1821" spans="1:5" x14ac:dyDescent="0.2">
      <c r="A1821" s="228" t="s">
        <v>2025</v>
      </c>
      <c r="B1821" s="298">
        <v>169.982327</v>
      </c>
      <c r="E1821" s="280">
        <v>78</v>
      </c>
    </row>
    <row r="1822" spans="1:5" x14ac:dyDescent="0.2">
      <c r="A1822" s="228" t="s">
        <v>2026</v>
      </c>
      <c r="B1822" s="298">
        <v>170.98108099999999</v>
      </c>
      <c r="E1822" s="280">
        <v>78</v>
      </c>
    </row>
    <row r="1823" spans="1:5" x14ac:dyDescent="0.2">
      <c r="A1823" s="228" t="s">
        <v>2027</v>
      </c>
      <c r="B1823" s="298">
        <v>171.97729665700001</v>
      </c>
      <c r="E1823" s="280">
        <v>78</v>
      </c>
    </row>
    <row r="1824" spans="1:5" x14ac:dyDescent="0.2">
      <c r="A1824" s="228" t="s">
        <v>2028</v>
      </c>
      <c r="B1824" s="298">
        <v>172.976502084</v>
      </c>
      <c r="E1824" s="280">
        <v>78</v>
      </c>
    </row>
    <row r="1825" spans="1:5" x14ac:dyDescent="0.2">
      <c r="A1825" s="228" t="s">
        <v>2029</v>
      </c>
      <c r="B1825" s="298">
        <v>173.972813723</v>
      </c>
      <c r="E1825" s="280">
        <v>78</v>
      </c>
    </row>
    <row r="1826" spans="1:5" x14ac:dyDescent="0.2">
      <c r="A1826" s="228" t="s">
        <v>2030</v>
      </c>
      <c r="B1826" s="298">
        <v>174.97227599999999</v>
      </c>
      <c r="E1826" s="280">
        <v>78</v>
      </c>
    </row>
    <row r="1827" spans="1:5" x14ac:dyDescent="0.2">
      <c r="A1827" s="228" t="s">
        <v>2031</v>
      </c>
      <c r="B1827" s="298">
        <v>175.96899999999999</v>
      </c>
      <c r="E1827" s="280">
        <v>78</v>
      </c>
    </row>
    <row r="1828" spans="1:5" x14ac:dyDescent="0.2">
      <c r="A1828" s="228" t="s">
        <v>2032</v>
      </c>
      <c r="B1828" s="298">
        <v>176.96845300000001</v>
      </c>
      <c r="E1828" s="280">
        <v>78</v>
      </c>
    </row>
    <row r="1829" spans="1:5" x14ac:dyDescent="0.2">
      <c r="A1829" s="228" t="s">
        <v>2033</v>
      </c>
      <c r="B1829" s="298">
        <v>177.965709</v>
      </c>
      <c r="E1829" s="280">
        <v>78</v>
      </c>
    </row>
    <row r="1830" spans="1:5" x14ac:dyDescent="0.2">
      <c r="A1830" s="228" t="s">
        <v>2034</v>
      </c>
      <c r="B1830" s="298">
        <v>178.965305</v>
      </c>
      <c r="E1830" s="280">
        <v>78</v>
      </c>
    </row>
    <row r="1831" spans="1:5" x14ac:dyDescent="0.2">
      <c r="A1831" s="228" t="s">
        <v>2035</v>
      </c>
      <c r="B1831" s="298">
        <v>179.96321399999999</v>
      </c>
      <c r="E1831" s="280">
        <v>78</v>
      </c>
    </row>
    <row r="1832" spans="1:5" x14ac:dyDescent="0.2">
      <c r="A1832" s="228" t="s">
        <v>2036</v>
      </c>
      <c r="B1832" s="298">
        <v>180.96318600000001</v>
      </c>
      <c r="E1832" s="280">
        <v>78</v>
      </c>
    </row>
    <row r="1833" spans="1:5" x14ac:dyDescent="0.2">
      <c r="A1833" s="228" t="s">
        <v>2037</v>
      </c>
      <c r="B1833" s="298">
        <v>181.961267244</v>
      </c>
      <c r="E1833" s="280">
        <v>78</v>
      </c>
    </row>
    <row r="1834" spans="1:5" x14ac:dyDescent="0.2">
      <c r="A1834" s="228" t="s">
        <v>2038</v>
      </c>
      <c r="B1834" s="298">
        <v>182.96172899999999</v>
      </c>
      <c r="E1834" s="280">
        <v>78</v>
      </c>
    </row>
    <row r="1835" spans="1:5" x14ac:dyDescent="0.2">
      <c r="A1835" s="228" t="s">
        <v>2039</v>
      </c>
      <c r="B1835" s="298">
        <v>183.959892</v>
      </c>
      <c r="E1835" s="280">
        <v>78</v>
      </c>
    </row>
    <row r="1836" spans="1:5" x14ac:dyDescent="0.2">
      <c r="A1836" s="228" t="s">
        <v>2040</v>
      </c>
      <c r="B1836" s="298">
        <v>184.960689</v>
      </c>
      <c r="E1836" s="280">
        <v>78</v>
      </c>
    </row>
    <row r="1837" spans="1:5" x14ac:dyDescent="0.2">
      <c r="A1837" s="228" t="s">
        <v>2041</v>
      </c>
      <c r="B1837" s="298">
        <v>185.959431295</v>
      </c>
      <c r="E1837" s="280">
        <v>78</v>
      </c>
    </row>
    <row r="1838" spans="1:5" x14ac:dyDescent="0.2">
      <c r="A1838" s="228" t="s">
        <v>2042</v>
      </c>
      <c r="B1838" s="298">
        <v>186.96069700000001</v>
      </c>
      <c r="E1838" s="280">
        <v>78</v>
      </c>
    </row>
    <row r="1839" spans="1:5" x14ac:dyDescent="0.2">
      <c r="A1839" s="228" t="s">
        <v>2043</v>
      </c>
      <c r="B1839" s="298">
        <v>187.95939540399999</v>
      </c>
      <c r="E1839" s="280">
        <v>78</v>
      </c>
    </row>
    <row r="1840" spans="1:5" x14ac:dyDescent="0.2">
      <c r="A1840" s="228" t="s">
        <v>2044</v>
      </c>
      <c r="B1840" s="298">
        <v>188.960831517</v>
      </c>
      <c r="E1840" s="280">
        <v>78</v>
      </c>
    </row>
    <row r="1841" spans="1:5" x14ac:dyDescent="0.2">
      <c r="A1841" s="228" t="s">
        <v>2045</v>
      </c>
      <c r="B1841" s="298">
        <v>189.9599297</v>
      </c>
      <c r="E1841" s="280">
        <v>78</v>
      </c>
    </row>
    <row r="1842" spans="1:5" x14ac:dyDescent="0.2">
      <c r="A1842" s="228" t="s">
        <v>2046</v>
      </c>
      <c r="B1842" s="298">
        <v>190.96168431999999</v>
      </c>
      <c r="E1842" s="280">
        <v>78</v>
      </c>
    </row>
    <row r="1843" spans="1:5" x14ac:dyDescent="0.2">
      <c r="A1843" s="228" t="s">
        <v>2047</v>
      </c>
      <c r="B1843" s="298">
        <v>191.96103472600001</v>
      </c>
      <c r="E1843" s="280">
        <v>78</v>
      </c>
    </row>
    <row r="1844" spans="1:5" x14ac:dyDescent="0.2">
      <c r="A1844" s="228" t="s">
        <v>2048</v>
      </c>
      <c r="B1844" s="298">
        <v>192.96298406700001</v>
      </c>
      <c r="E1844" s="280">
        <v>78</v>
      </c>
    </row>
    <row r="1845" spans="1:5" x14ac:dyDescent="0.2">
      <c r="A1845" s="228" t="s">
        <v>2049</v>
      </c>
      <c r="B1845" s="298">
        <v>193.96266302000001</v>
      </c>
      <c r="E1845" s="280">
        <v>78</v>
      </c>
    </row>
    <row r="1846" spans="1:5" x14ac:dyDescent="0.2">
      <c r="A1846" s="228" t="s">
        <v>2050</v>
      </c>
      <c r="B1846" s="298">
        <v>194.964773888</v>
      </c>
      <c r="E1846" s="280">
        <v>78</v>
      </c>
    </row>
    <row r="1847" spans="1:5" x14ac:dyDescent="0.2">
      <c r="A1847" s="228" t="s">
        <v>2051</v>
      </c>
      <c r="B1847" s="298">
        <v>195.96493432299999</v>
      </c>
      <c r="E1847" s="280">
        <v>78</v>
      </c>
    </row>
    <row r="1848" spans="1:5" x14ac:dyDescent="0.2">
      <c r="A1848" s="228" t="s">
        <v>2052</v>
      </c>
      <c r="B1848" s="298">
        <v>196.967322835</v>
      </c>
      <c r="E1848" s="280">
        <v>78</v>
      </c>
    </row>
    <row r="1849" spans="1:5" x14ac:dyDescent="0.2">
      <c r="A1849" s="228" t="s">
        <v>2053</v>
      </c>
      <c r="B1849" s="298">
        <v>197.967875443</v>
      </c>
      <c r="E1849" s="280">
        <v>78</v>
      </c>
    </row>
    <row r="1850" spans="1:5" x14ac:dyDescent="0.2">
      <c r="A1850" s="228" t="s">
        <v>2054</v>
      </c>
      <c r="B1850" s="298">
        <v>198.970575647</v>
      </c>
      <c r="E1850" s="280">
        <v>78</v>
      </c>
    </row>
    <row r="1851" spans="1:5" x14ac:dyDescent="0.2">
      <c r="A1851" s="228" t="s">
        <v>2055</v>
      </c>
      <c r="B1851" s="298">
        <v>199.971423319</v>
      </c>
      <c r="E1851" s="280">
        <v>78</v>
      </c>
    </row>
    <row r="1852" spans="1:5" x14ac:dyDescent="0.2">
      <c r="A1852" s="228" t="s">
        <v>2056</v>
      </c>
      <c r="B1852" s="298">
        <v>200.974509345</v>
      </c>
      <c r="E1852" s="280">
        <v>78</v>
      </c>
    </row>
    <row r="1853" spans="1:5" x14ac:dyDescent="0.2">
      <c r="A1853" s="287" t="s">
        <v>3179</v>
      </c>
      <c r="B1853" s="299">
        <v>244</v>
      </c>
      <c r="C1853" s="288"/>
      <c r="D1853" s="288"/>
      <c r="E1853" s="288">
        <v>94</v>
      </c>
    </row>
    <row r="1854" spans="1:5" x14ac:dyDescent="0.2">
      <c r="A1854" s="228" t="s">
        <v>2057</v>
      </c>
      <c r="B1854" s="298">
        <v>230.03963633999999</v>
      </c>
      <c r="E1854" s="280">
        <v>94</v>
      </c>
    </row>
    <row r="1855" spans="1:5" x14ac:dyDescent="0.2">
      <c r="A1855" s="228" t="s">
        <v>2058</v>
      </c>
      <c r="B1855" s="298">
        <v>231.04124999999999</v>
      </c>
      <c r="E1855" s="280">
        <v>94</v>
      </c>
    </row>
    <row r="1856" spans="1:5" x14ac:dyDescent="0.2">
      <c r="A1856" s="228" t="s">
        <v>2059</v>
      </c>
      <c r="B1856" s="298">
        <v>232.04117920799999</v>
      </c>
      <c r="E1856" s="280">
        <v>94</v>
      </c>
    </row>
    <row r="1857" spans="1:5" x14ac:dyDescent="0.2">
      <c r="A1857" s="228" t="s">
        <v>2060</v>
      </c>
      <c r="B1857" s="298">
        <v>233.04299023900001</v>
      </c>
      <c r="E1857" s="280">
        <v>94</v>
      </c>
    </row>
    <row r="1858" spans="1:5" x14ac:dyDescent="0.2">
      <c r="A1858" s="228" t="s">
        <v>2061</v>
      </c>
      <c r="B1858" s="298">
        <v>234.04330456700001</v>
      </c>
      <c r="E1858" s="280">
        <v>94</v>
      </c>
    </row>
    <row r="1859" spans="1:5" x14ac:dyDescent="0.2">
      <c r="A1859" s="228" t="s">
        <v>2062</v>
      </c>
      <c r="B1859" s="298">
        <v>235.04530800000001</v>
      </c>
      <c r="E1859" s="280">
        <v>94</v>
      </c>
    </row>
    <row r="1860" spans="1:5" x14ac:dyDescent="0.2">
      <c r="A1860" s="228" t="s">
        <v>2063</v>
      </c>
      <c r="B1860" s="298">
        <v>236.04604772299999</v>
      </c>
      <c r="C1860" s="280">
        <v>2.87</v>
      </c>
      <c r="D1860" s="280" t="s">
        <v>249</v>
      </c>
      <c r="E1860" s="280">
        <v>94</v>
      </c>
    </row>
    <row r="1861" spans="1:5" x14ac:dyDescent="0.2">
      <c r="A1861" s="228" t="s">
        <v>2064</v>
      </c>
      <c r="B1861" s="298">
        <v>237.04840285899999</v>
      </c>
      <c r="C1861" s="280">
        <v>45.2</v>
      </c>
      <c r="D1861" s="280" t="s">
        <v>192</v>
      </c>
      <c r="E1861" s="280">
        <v>94</v>
      </c>
    </row>
    <row r="1862" spans="1:5" x14ac:dyDescent="0.2">
      <c r="A1862" s="228" t="s">
        <v>2065</v>
      </c>
      <c r="B1862" s="298">
        <v>238.04955248900001</v>
      </c>
      <c r="C1862" s="280">
        <v>87.7</v>
      </c>
      <c r="D1862" s="280" t="s">
        <v>249</v>
      </c>
      <c r="E1862" s="280">
        <v>94</v>
      </c>
    </row>
    <row r="1863" spans="1:5" x14ac:dyDescent="0.2">
      <c r="A1863" s="228" t="s">
        <v>2066</v>
      </c>
      <c r="B1863" s="298">
        <v>239.05215560900001</v>
      </c>
      <c r="C1863" s="282">
        <v>24100</v>
      </c>
      <c r="D1863" s="280" t="s">
        <v>249</v>
      </c>
      <c r="E1863" s="280">
        <v>94</v>
      </c>
    </row>
    <row r="1864" spans="1:5" x14ac:dyDescent="0.2">
      <c r="A1864" s="228" t="s">
        <v>2067</v>
      </c>
      <c r="B1864" s="298">
        <v>240.05380654999999</v>
      </c>
      <c r="C1864" s="282">
        <v>6560</v>
      </c>
      <c r="D1864" s="280" t="s">
        <v>249</v>
      </c>
      <c r="E1864" s="280">
        <v>94</v>
      </c>
    </row>
    <row r="1865" spans="1:5" x14ac:dyDescent="0.2">
      <c r="A1865" s="228" t="s">
        <v>2068</v>
      </c>
      <c r="B1865" s="298">
        <v>241.05684437900001</v>
      </c>
      <c r="C1865" s="280">
        <v>14.4</v>
      </c>
      <c r="D1865" s="280" t="s">
        <v>249</v>
      </c>
      <c r="E1865" s="280">
        <v>94</v>
      </c>
    </row>
    <row r="1866" spans="1:5" x14ac:dyDescent="0.2">
      <c r="A1866" s="228" t="s">
        <v>2069</v>
      </c>
      <c r="B1866" s="298">
        <v>242.05873587799999</v>
      </c>
      <c r="C1866" s="282">
        <v>375000</v>
      </c>
      <c r="D1866" s="280" t="s">
        <v>249</v>
      </c>
      <c r="E1866" s="280">
        <v>94</v>
      </c>
    </row>
    <row r="1867" spans="1:5" x14ac:dyDescent="0.2">
      <c r="A1867" s="228" t="s">
        <v>2070</v>
      </c>
      <c r="B1867" s="298">
        <v>243.06199605200001</v>
      </c>
      <c r="C1867" s="280">
        <v>4.9560000000000004</v>
      </c>
      <c r="D1867" s="280" t="s">
        <v>199</v>
      </c>
      <c r="E1867" s="280">
        <v>94</v>
      </c>
    </row>
    <row r="1868" spans="1:5" x14ac:dyDescent="0.2">
      <c r="A1868" s="228" t="s">
        <v>2071</v>
      </c>
      <c r="B1868" s="298">
        <v>244.06419668800001</v>
      </c>
      <c r="E1868" s="280">
        <v>94</v>
      </c>
    </row>
    <row r="1869" spans="1:5" x14ac:dyDescent="0.2">
      <c r="A1869" s="228" t="s">
        <v>2072</v>
      </c>
      <c r="B1869" s="298">
        <v>245.06773769599999</v>
      </c>
      <c r="E1869" s="280">
        <v>94</v>
      </c>
    </row>
    <row r="1870" spans="1:5" x14ac:dyDescent="0.2">
      <c r="A1870" s="228" t="s">
        <v>2073</v>
      </c>
      <c r="B1870" s="298">
        <v>246.07019746500001</v>
      </c>
      <c r="E1870" s="280">
        <v>94</v>
      </c>
    </row>
    <row r="1871" spans="1:5" x14ac:dyDescent="0.2">
      <c r="A1871" s="287" t="s">
        <v>2074</v>
      </c>
      <c r="B1871" s="299">
        <v>226.02539999999999</v>
      </c>
      <c r="C1871" s="293">
        <v>1600</v>
      </c>
      <c r="D1871" s="288" t="s">
        <v>249</v>
      </c>
      <c r="E1871" s="288">
        <v>88</v>
      </c>
    </row>
    <row r="1872" spans="1:5" x14ac:dyDescent="0.2">
      <c r="A1872" s="228" t="s">
        <v>2075</v>
      </c>
      <c r="B1872" s="298">
        <v>204.00649000000001</v>
      </c>
      <c r="E1872" s="280">
        <v>88</v>
      </c>
    </row>
    <row r="1873" spans="1:5" x14ac:dyDescent="0.2">
      <c r="A1873" s="228" t="s">
        <v>2076</v>
      </c>
      <c r="B1873" s="298">
        <v>205.00619699999999</v>
      </c>
      <c r="E1873" s="280">
        <v>88</v>
      </c>
    </row>
    <row r="1874" spans="1:5" x14ac:dyDescent="0.2">
      <c r="A1874" s="228" t="s">
        <v>2077</v>
      </c>
      <c r="B1874" s="298">
        <v>206.00378599999999</v>
      </c>
      <c r="E1874" s="280">
        <v>88</v>
      </c>
    </row>
    <row r="1875" spans="1:5" x14ac:dyDescent="0.2">
      <c r="A1875" s="228" t="s">
        <v>2078</v>
      </c>
      <c r="B1875" s="298">
        <v>207.003726</v>
      </c>
      <c r="E1875" s="280">
        <v>88</v>
      </c>
    </row>
    <row r="1876" spans="1:5" x14ac:dyDescent="0.2">
      <c r="A1876" s="228" t="s">
        <v>2079</v>
      </c>
      <c r="B1876" s="298">
        <v>208.001777</v>
      </c>
      <c r="E1876" s="280">
        <v>88</v>
      </c>
    </row>
    <row r="1877" spans="1:5" x14ac:dyDescent="0.2">
      <c r="A1877" s="228" t="s">
        <v>2080</v>
      </c>
      <c r="B1877" s="298">
        <v>209.00194400000001</v>
      </c>
      <c r="E1877" s="280">
        <v>88</v>
      </c>
    </row>
    <row r="1878" spans="1:5" x14ac:dyDescent="0.2">
      <c r="A1878" s="228" t="s">
        <v>2081</v>
      </c>
      <c r="B1878" s="298">
        <v>210.00044600000001</v>
      </c>
      <c r="E1878" s="280">
        <v>88</v>
      </c>
    </row>
    <row r="1879" spans="1:5" x14ac:dyDescent="0.2">
      <c r="A1879" s="228" t="s">
        <v>2082</v>
      </c>
      <c r="B1879" s="298">
        <v>211.00089314499999</v>
      </c>
      <c r="E1879" s="280">
        <v>88</v>
      </c>
    </row>
    <row r="1880" spans="1:5" x14ac:dyDescent="0.2">
      <c r="A1880" s="228" t="s">
        <v>2083</v>
      </c>
      <c r="B1880" s="298">
        <v>211.99978310500001</v>
      </c>
      <c r="E1880" s="280">
        <v>88</v>
      </c>
    </row>
    <row r="1881" spans="1:5" x14ac:dyDescent="0.2">
      <c r="A1881" s="228" t="s">
        <v>2084</v>
      </c>
      <c r="B1881" s="298">
        <v>213.00034345200001</v>
      </c>
      <c r="E1881" s="280">
        <v>88</v>
      </c>
    </row>
    <row r="1882" spans="1:5" x14ac:dyDescent="0.2">
      <c r="A1882" s="228" t="s">
        <v>2085</v>
      </c>
      <c r="B1882" s="298">
        <v>214.000090761</v>
      </c>
      <c r="E1882" s="280">
        <v>88</v>
      </c>
    </row>
    <row r="1883" spans="1:5" x14ac:dyDescent="0.2">
      <c r="A1883" s="228" t="s">
        <v>2086</v>
      </c>
      <c r="B1883" s="298">
        <v>215.00270409999999</v>
      </c>
      <c r="E1883" s="280">
        <v>88</v>
      </c>
    </row>
    <row r="1884" spans="1:5" x14ac:dyDescent="0.2">
      <c r="A1884" s="228" t="s">
        <v>2087</v>
      </c>
      <c r="B1884" s="298">
        <v>216.00351801400001</v>
      </c>
      <c r="E1884" s="280">
        <v>88</v>
      </c>
    </row>
    <row r="1885" spans="1:5" x14ac:dyDescent="0.2">
      <c r="A1885" s="228" t="s">
        <v>2088</v>
      </c>
      <c r="B1885" s="298">
        <v>217.006305634</v>
      </c>
      <c r="E1885" s="280">
        <v>88</v>
      </c>
    </row>
    <row r="1886" spans="1:5" x14ac:dyDescent="0.2">
      <c r="A1886" s="228" t="s">
        <v>2089</v>
      </c>
      <c r="B1886" s="298">
        <v>218.00712370400001</v>
      </c>
      <c r="E1886" s="280">
        <v>88</v>
      </c>
    </row>
    <row r="1887" spans="1:5" x14ac:dyDescent="0.2">
      <c r="A1887" s="228" t="s">
        <v>2090</v>
      </c>
      <c r="B1887" s="298">
        <v>219.01006052899999</v>
      </c>
      <c r="E1887" s="280">
        <v>88</v>
      </c>
    </row>
    <row r="1888" spans="1:5" x14ac:dyDescent="0.2">
      <c r="A1888" s="228" t="s">
        <v>2091</v>
      </c>
      <c r="B1888" s="298">
        <v>220.011014432</v>
      </c>
      <c r="E1888" s="280">
        <v>88</v>
      </c>
    </row>
    <row r="1889" spans="1:5" x14ac:dyDescent="0.2">
      <c r="A1889" s="228" t="s">
        <v>2092</v>
      </c>
      <c r="B1889" s="298">
        <v>221.01391024099999</v>
      </c>
      <c r="E1889" s="280">
        <v>88</v>
      </c>
    </row>
    <row r="1890" spans="1:5" x14ac:dyDescent="0.2">
      <c r="A1890" s="228" t="s">
        <v>2093</v>
      </c>
      <c r="B1890" s="298">
        <v>222.015361394</v>
      </c>
      <c r="E1890" s="280">
        <v>88</v>
      </c>
    </row>
    <row r="1891" spans="1:5" x14ac:dyDescent="0.2">
      <c r="A1891" s="228" t="s">
        <v>2094</v>
      </c>
      <c r="B1891" s="298">
        <v>223.018497328</v>
      </c>
      <c r="C1891" s="280">
        <v>11.435</v>
      </c>
      <c r="D1891" s="280" t="s">
        <v>192</v>
      </c>
      <c r="E1891" s="280">
        <v>88</v>
      </c>
    </row>
    <row r="1892" spans="1:5" x14ac:dyDescent="0.2">
      <c r="A1892" s="228" t="s">
        <v>2095</v>
      </c>
      <c r="B1892" s="298">
        <v>224.02020164000001</v>
      </c>
      <c r="C1892" s="280">
        <v>3.66</v>
      </c>
      <c r="D1892" s="280" t="s">
        <v>192</v>
      </c>
      <c r="E1892" s="280">
        <v>88</v>
      </c>
    </row>
    <row r="1893" spans="1:5" x14ac:dyDescent="0.2">
      <c r="A1893" s="228" t="s">
        <v>2096</v>
      </c>
      <c r="B1893" s="298">
        <v>225.02360284100001</v>
      </c>
      <c r="C1893" s="280">
        <v>14.9</v>
      </c>
      <c r="D1893" s="280" t="s">
        <v>192</v>
      </c>
      <c r="E1893" s="280">
        <v>88</v>
      </c>
    </row>
    <row r="1894" spans="1:5" x14ac:dyDescent="0.2">
      <c r="A1894" s="228" t="s">
        <v>2097</v>
      </c>
      <c r="B1894" s="298">
        <v>226.02540154900001</v>
      </c>
      <c r="C1894" s="282">
        <v>1600</v>
      </c>
      <c r="D1894" s="280" t="s">
        <v>249</v>
      </c>
      <c r="E1894" s="280">
        <v>88</v>
      </c>
    </row>
    <row r="1895" spans="1:5" x14ac:dyDescent="0.2">
      <c r="A1895" s="228" t="s">
        <v>2098</v>
      </c>
      <c r="B1895" s="298">
        <v>227.02916967199999</v>
      </c>
      <c r="C1895" s="280">
        <v>42</v>
      </c>
      <c r="D1895" s="280" t="s">
        <v>218</v>
      </c>
      <c r="E1895" s="280">
        <v>88</v>
      </c>
    </row>
    <row r="1896" spans="1:5" x14ac:dyDescent="0.2">
      <c r="A1896" s="228" t="s">
        <v>2099</v>
      </c>
      <c r="B1896" s="298">
        <v>228.03106324699999</v>
      </c>
      <c r="C1896" s="280">
        <v>5.76</v>
      </c>
      <c r="D1896" s="280" t="s">
        <v>249</v>
      </c>
      <c r="E1896" s="280">
        <v>88</v>
      </c>
    </row>
    <row r="1897" spans="1:5" x14ac:dyDescent="0.2">
      <c r="A1897" s="228" t="s">
        <v>2100</v>
      </c>
      <c r="B1897" s="298">
        <v>229.034818986</v>
      </c>
      <c r="C1897" s="280">
        <v>4</v>
      </c>
      <c r="D1897" s="280" t="s">
        <v>218</v>
      </c>
      <c r="E1897" s="280">
        <v>88</v>
      </c>
    </row>
    <row r="1898" spans="1:5" x14ac:dyDescent="0.2">
      <c r="A1898" s="228" t="s">
        <v>2101</v>
      </c>
      <c r="B1898" s="298">
        <v>230.037083768</v>
      </c>
      <c r="C1898" s="280">
        <v>1.5</v>
      </c>
      <c r="D1898" s="280" t="s">
        <v>199</v>
      </c>
      <c r="E1898" s="280">
        <v>88</v>
      </c>
    </row>
    <row r="1899" spans="1:5" x14ac:dyDescent="0.2">
      <c r="A1899" s="287" t="s">
        <v>2102</v>
      </c>
      <c r="B1899" s="299">
        <v>85.467799999999997</v>
      </c>
      <c r="C1899" s="288">
        <v>0</v>
      </c>
      <c r="D1899" s="288">
        <v>0</v>
      </c>
      <c r="E1899" s="288">
        <v>37</v>
      </c>
    </row>
    <row r="1900" spans="1:5" x14ac:dyDescent="0.2">
      <c r="A1900" s="228" t="s">
        <v>2103</v>
      </c>
      <c r="B1900" s="298">
        <v>99.949870000000004</v>
      </c>
      <c r="E1900" s="280">
        <v>37</v>
      </c>
    </row>
    <row r="1901" spans="1:5" x14ac:dyDescent="0.2">
      <c r="A1901" s="228" t="s">
        <v>2104</v>
      </c>
      <c r="B1901" s="298">
        <v>100.953195331</v>
      </c>
      <c r="E1901" s="280">
        <v>37</v>
      </c>
    </row>
    <row r="1902" spans="1:5" x14ac:dyDescent="0.2">
      <c r="A1902" s="228" t="s">
        <v>2105</v>
      </c>
      <c r="B1902" s="298">
        <v>71.95908</v>
      </c>
      <c r="E1902" s="280">
        <v>37</v>
      </c>
    </row>
    <row r="1903" spans="1:5" x14ac:dyDescent="0.2">
      <c r="A1903" s="228" t="s">
        <v>2106</v>
      </c>
      <c r="B1903" s="298">
        <v>72.950337000000005</v>
      </c>
      <c r="E1903" s="280">
        <v>37</v>
      </c>
    </row>
    <row r="1904" spans="1:5" x14ac:dyDescent="0.2">
      <c r="A1904" s="228" t="s">
        <v>2107</v>
      </c>
      <c r="B1904" s="298">
        <v>73.944472461999993</v>
      </c>
      <c r="E1904" s="280">
        <v>37</v>
      </c>
    </row>
    <row r="1905" spans="1:5" x14ac:dyDescent="0.2">
      <c r="A1905" s="228" t="s">
        <v>2108</v>
      </c>
      <c r="B1905" s="298">
        <v>74.938571929000005</v>
      </c>
      <c r="E1905" s="280">
        <v>37</v>
      </c>
    </row>
    <row r="1906" spans="1:5" x14ac:dyDescent="0.2">
      <c r="A1906" s="228" t="s">
        <v>2109</v>
      </c>
      <c r="B1906" s="298">
        <v>75.935075521000002</v>
      </c>
      <c r="E1906" s="280">
        <v>37</v>
      </c>
    </row>
    <row r="1907" spans="1:5" x14ac:dyDescent="0.2">
      <c r="A1907" s="228" t="s">
        <v>2110</v>
      </c>
      <c r="B1907" s="298">
        <v>76.930406791999999</v>
      </c>
      <c r="E1907" s="280">
        <v>37</v>
      </c>
    </row>
    <row r="1908" spans="1:5" x14ac:dyDescent="0.2">
      <c r="A1908" s="228" t="s">
        <v>2111</v>
      </c>
      <c r="B1908" s="298">
        <v>77.928143601000002</v>
      </c>
      <c r="E1908" s="280">
        <v>37</v>
      </c>
    </row>
    <row r="1909" spans="1:5" x14ac:dyDescent="0.2">
      <c r="A1909" s="228" t="s">
        <v>2112</v>
      </c>
      <c r="B1909" s="298">
        <v>78.924000883999994</v>
      </c>
      <c r="E1909" s="280">
        <v>37</v>
      </c>
    </row>
    <row r="1910" spans="1:5" x14ac:dyDescent="0.2">
      <c r="A1910" s="228" t="s">
        <v>2113</v>
      </c>
      <c r="B1910" s="298">
        <v>79.922522336</v>
      </c>
      <c r="E1910" s="280">
        <v>37</v>
      </c>
    </row>
    <row r="1911" spans="1:5" x14ac:dyDescent="0.2">
      <c r="A1911" s="228" t="s">
        <v>2114</v>
      </c>
      <c r="B1911" s="298">
        <v>80.918995373000001</v>
      </c>
      <c r="E1911" s="280">
        <v>37</v>
      </c>
    </row>
    <row r="1912" spans="1:5" x14ac:dyDescent="0.2">
      <c r="A1912" s="228" t="s">
        <v>2115</v>
      </c>
      <c r="B1912" s="298">
        <v>81.918210052000006</v>
      </c>
      <c r="E1912" s="280">
        <v>37</v>
      </c>
    </row>
    <row r="1913" spans="1:5" x14ac:dyDescent="0.2">
      <c r="A1913" s="228" t="s">
        <v>2116</v>
      </c>
      <c r="B1913" s="298">
        <v>82.915113766000005</v>
      </c>
      <c r="C1913" s="280">
        <v>86.2</v>
      </c>
      <c r="D1913" s="280" t="s">
        <v>192</v>
      </c>
      <c r="E1913" s="280">
        <v>37</v>
      </c>
    </row>
    <row r="1914" spans="1:5" x14ac:dyDescent="0.2">
      <c r="A1914" s="228" t="s">
        <v>2117</v>
      </c>
      <c r="B1914" s="298">
        <v>83.914386527999994</v>
      </c>
      <c r="C1914" s="280">
        <v>32.9</v>
      </c>
      <c r="D1914" s="280" t="s">
        <v>192</v>
      </c>
      <c r="E1914" s="280">
        <v>37</v>
      </c>
    </row>
    <row r="1915" spans="1:5" x14ac:dyDescent="0.2">
      <c r="A1915" s="228" t="s">
        <v>2118</v>
      </c>
      <c r="B1915" s="298">
        <v>84.911792429000002</v>
      </c>
      <c r="C1915" s="280">
        <v>0</v>
      </c>
      <c r="E1915" s="280">
        <v>37</v>
      </c>
    </row>
    <row r="1916" spans="1:5" x14ac:dyDescent="0.2">
      <c r="A1916" s="228" t="s">
        <v>2119</v>
      </c>
      <c r="B1916" s="298">
        <v>85.911169925999999</v>
      </c>
      <c r="C1916" s="280">
        <v>18.649999999999999</v>
      </c>
      <c r="D1916" s="280" t="s">
        <v>192</v>
      </c>
      <c r="E1916" s="280">
        <v>37</v>
      </c>
    </row>
    <row r="1917" spans="1:5" x14ac:dyDescent="0.2">
      <c r="A1917" s="228" t="s">
        <v>2120</v>
      </c>
      <c r="B1917" s="298">
        <v>86.909185762999996</v>
      </c>
      <c r="C1917" s="280">
        <v>0</v>
      </c>
      <c r="E1917" s="280">
        <v>37</v>
      </c>
    </row>
    <row r="1918" spans="1:5" x14ac:dyDescent="0.2">
      <c r="A1918" s="228" t="s">
        <v>2121</v>
      </c>
      <c r="B1918" s="298">
        <v>87.911323490000001</v>
      </c>
      <c r="C1918" s="280">
        <v>17.7</v>
      </c>
      <c r="D1918" s="280" t="s">
        <v>218</v>
      </c>
      <c r="E1918" s="280">
        <v>37</v>
      </c>
    </row>
    <row r="1919" spans="1:5" x14ac:dyDescent="0.2">
      <c r="A1919" s="228" t="s">
        <v>2122</v>
      </c>
      <c r="B1919" s="298">
        <v>88.912287742999993</v>
      </c>
      <c r="E1919" s="280">
        <v>37</v>
      </c>
    </row>
    <row r="1920" spans="1:5" x14ac:dyDescent="0.2">
      <c r="A1920" s="228" t="s">
        <v>2123</v>
      </c>
      <c r="B1920" s="298">
        <v>89.914812815000005</v>
      </c>
      <c r="E1920" s="280">
        <v>37</v>
      </c>
    </row>
    <row r="1921" spans="1:5" x14ac:dyDescent="0.2">
      <c r="A1921" s="228" t="s">
        <v>2124</v>
      </c>
      <c r="B1921" s="298">
        <v>90.916490995000004</v>
      </c>
      <c r="E1921" s="280">
        <v>37</v>
      </c>
    </row>
    <row r="1922" spans="1:5" x14ac:dyDescent="0.2">
      <c r="A1922" s="228" t="s">
        <v>2125</v>
      </c>
      <c r="B1922" s="298">
        <v>91.919683366000001</v>
      </c>
      <c r="E1922" s="280">
        <v>37</v>
      </c>
    </row>
    <row r="1923" spans="1:5" x14ac:dyDescent="0.2">
      <c r="A1923" s="228" t="s">
        <v>2126</v>
      </c>
      <c r="B1923" s="298">
        <v>92.921951188999998</v>
      </c>
      <c r="E1923" s="280">
        <v>37</v>
      </c>
    </row>
    <row r="1924" spans="1:5" x14ac:dyDescent="0.2">
      <c r="A1924" s="228" t="s">
        <v>2127</v>
      </c>
      <c r="B1924" s="298">
        <v>93.926429639999995</v>
      </c>
      <c r="E1924" s="280">
        <v>37</v>
      </c>
    </row>
    <row r="1925" spans="1:5" x14ac:dyDescent="0.2">
      <c r="A1925" s="228" t="s">
        <v>2128</v>
      </c>
      <c r="B1925" s="298">
        <v>94.929293306999995</v>
      </c>
      <c r="E1925" s="280">
        <v>37</v>
      </c>
    </row>
    <row r="1926" spans="1:5" x14ac:dyDescent="0.2">
      <c r="A1926" s="228" t="s">
        <v>2129</v>
      </c>
      <c r="B1926" s="298">
        <v>95.934270206999997</v>
      </c>
      <c r="E1926" s="280">
        <v>37</v>
      </c>
    </row>
    <row r="1927" spans="1:5" x14ac:dyDescent="0.2">
      <c r="A1927" s="228" t="s">
        <v>2130</v>
      </c>
      <c r="B1927" s="298">
        <v>96.937331653000001</v>
      </c>
      <c r="E1927" s="280">
        <v>37</v>
      </c>
    </row>
    <row r="1928" spans="1:5" x14ac:dyDescent="0.2">
      <c r="A1928" s="228" t="s">
        <v>2131</v>
      </c>
      <c r="B1928" s="298">
        <v>97.941743216999996</v>
      </c>
      <c r="E1928" s="280">
        <v>37</v>
      </c>
    </row>
    <row r="1929" spans="1:5" x14ac:dyDescent="0.2">
      <c r="A1929" s="228" t="s">
        <v>2132</v>
      </c>
      <c r="B1929" s="298">
        <v>98.945328418000003</v>
      </c>
      <c r="E1929" s="280">
        <v>37</v>
      </c>
    </row>
    <row r="1930" spans="1:5" x14ac:dyDescent="0.2">
      <c r="A1930" s="287" t="s">
        <v>2179</v>
      </c>
      <c r="B1930" s="299">
        <v>186.20699999999999</v>
      </c>
      <c r="C1930" s="288">
        <v>0</v>
      </c>
      <c r="D1930" s="288">
        <v>0</v>
      </c>
      <c r="E1930" s="288">
        <v>75</v>
      </c>
    </row>
    <row r="1931" spans="1:5" x14ac:dyDescent="0.2">
      <c r="A1931" s="228" t="s">
        <v>2133</v>
      </c>
      <c r="B1931" s="298">
        <v>159.98148499999999</v>
      </c>
      <c r="E1931" s="280">
        <v>75</v>
      </c>
    </row>
    <row r="1932" spans="1:5" x14ac:dyDescent="0.2">
      <c r="A1932" s="228" t="s">
        <v>2134</v>
      </c>
      <c r="B1932" s="298">
        <v>160.97766100000001</v>
      </c>
      <c r="E1932" s="280">
        <v>75</v>
      </c>
    </row>
    <row r="1933" spans="1:5" x14ac:dyDescent="0.2">
      <c r="A1933" s="228" t="s">
        <v>2135</v>
      </c>
      <c r="B1933" s="298">
        <v>161.975707</v>
      </c>
      <c r="E1933" s="280">
        <v>75</v>
      </c>
    </row>
    <row r="1934" spans="1:5" x14ac:dyDescent="0.2">
      <c r="A1934" s="228" t="s">
        <v>2136</v>
      </c>
      <c r="B1934" s="298">
        <v>162.972061</v>
      </c>
      <c r="E1934" s="280">
        <v>75</v>
      </c>
    </row>
    <row r="1935" spans="1:5" x14ac:dyDescent="0.2">
      <c r="A1935" s="228" t="s">
        <v>2137</v>
      </c>
      <c r="B1935" s="298">
        <v>163.970426</v>
      </c>
      <c r="E1935" s="280">
        <v>75</v>
      </c>
    </row>
    <row r="1936" spans="1:5" x14ac:dyDescent="0.2">
      <c r="A1936" s="228" t="s">
        <v>2138</v>
      </c>
      <c r="B1936" s="298">
        <v>164.96705122099999</v>
      </c>
      <c r="E1936" s="280">
        <v>75</v>
      </c>
    </row>
    <row r="1937" spans="1:5" x14ac:dyDescent="0.2">
      <c r="A1937" s="228" t="s">
        <v>2139</v>
      </c>
      <c r="B1937" s="298">
        <v>165.96580399999999</v>
      </c>
      <c r="E1937" s="280">
        <v>75</v>
      </c>
    </row>
    <row r="1938" spans="1:5" x14ac:dyDescent="0.2">
      <c r="A1938" s="228" t="s">
        <v>2140</v>
      </c>
      <c r="B1938" s="298">
        <v>166.96259599999999</v>
      </c>
      <c r="E1938" s="280">
        <v>75</v>
      </c>
    </row>
    <row r="1939" spans="1:5" x14ac:dyDescent="0.2">
      <c r="A1939" s="228" t="s">
        <v>2141</v>
      </c>
      <c r="B1939" s="298">
        <v>167.96160900000001</v>
      </c>
      <c r="E1939" s="280">
        <v>75</v>
      </c>
    </row>
    <row r="1940" spans="1:5" x14ac:dyDescent="0.2">
      <c r="A1940" s="228" t="s">
        <v>2142</v>
      </c>
      <c r="B1940" s="298">
        <v>168.95883000000001</v>
      </c>
      <c r="E1940" s="280">
        <v>75</v>
      </c>
    </row>
    <row r="1941" spans="1:5" x14ac:dyDescent="0.2">
      <c r="A1941" s="228" t="s">
        <v>2143</v>
      </c>
      <c r="B1941" s="298">
        <v>169.95816300000001</v>
      </c>
      <c r="E1941" s="280">
        <v>75</v>
      </c>
    </row>
    <row r="1942" spans="1:5" x14ac:dyDescent="0.2">
      <c r="A1942" s="228" t="s">
        <v>2144</v>
      </c>
      <c r="B1942" s="298">
        <v>170.955457</v>
      </c>
      <c r="E1942" s="280">
        <v>75</v>
      </c>
    </row>
    <row r="1943" spans="1:5" x14ac:dyDescent="0.2">
      <c r="A1943" s="228" t="s">
        <v>2145</v>
      </c>
      <c r="B1943" s="298">
        <v>171.95528899999999</v>
      </c>
      <c r="E1943" s="280">
        <v>75</v>
      </c>
    </row>
    <row r="1944" spans="1:5" x14ac:dyDescent="0.2">
      <c r="A1944" s="228" t="s">
        <v>2146</v>
      </c>
      <c r="B1944" s="298">
        <v>172.95306199999999</v>
      </c>
      <c r="E1944" s="280">
        <v>75</v>
      </c>
    </row>
    <row r="1945" spans="1:5" x14ac:dyDescent="0.2">
      <c r="A1945" s="228" t="s">
        <v>2147</v>
      </c>
      <c r="B1945" s="298">
        <v>173.953113</v>
      </c>
      <c r="E1945" s="280">
        <v>75</v>
      </c>
    </row>
    <row r="1946" spans="1:5" x14ac:dyDescent="0.2">
      <c r="A1946" s="228" t="s">
        <v>2148</v>
      </c>
      <c r="B1946" s="298">
        <v>174.951393</v>
      </c>
      <c r="E1946" s="280">
        <v>75</v>
      </c>
    </row>
    <row r="1947" spans="1:5" x14ac:dyDescent="0.2">
      <c r="A1947" s="228" t="s">
        <v>2149</v>
      </c>
      <c r="B1947" s="298">
        <v>175.95157</v>
      </c>
      <c r="E1947" s="280">
        <v>75</v>
      </c>
    </row>
    <row r="1948" spans="1:5" x14ac:dyDescent="0.2">
      <c r="A1948" s="228" t="s">
        <v>2150</v>
      </c>
      <c r="B1948" s="298">
        <v>176.95026999999999</v>
      </c>
      <c r="E1948" s="280">
        <v>75</v>
      </c>
    </row>
    <row r="1949" spans="1:5" x14ac:dyDescent="0.2">
      <c r="A1949" s="228" t="s">
        <v>2151</v>
      </c>
      <c r="B1949" s="298">
        <v>177.95085144399999</v>
      </c>
      <c r="E1949" s="280">
        <v>75</v>
      </c>
    </row>
    <row r="1950" spans="1:5" x14ac:dyDescent="0.2">
      <c r="A1950" s="228" t="s">
        <v>2152</v>
      </c>
      <c r="B1950" s="298">
        <v>178.949980842</v>
      </c>
      <c r="E1950" s="280">
        <v>75</v>
      </c>
    </row>
    <row r="1951" spans="1:5" x14ac:dyDescent="0.2">
      <c r="A1951" s="228" t="s">
        <v>2153</v>
      </c>
      <c r="B1951" s="298">
        <v>179.950787483</v>
      </c>
      <c r="E1951" s="280">
        <v>75</v>
      </c>
    </row>
    <row r="1952" spans="1:5" x14ac:dyDescent="0.2">
      <c r="A1952" s="228" t="s">
        <v>2154</v>
      </c>
      <c r="B1952" s="298">
        <v>180.95006434699999</v>
      </c>
      <c r="E1952" s="280">
        <v>75</v>
      </c>
    </row>
    <row r="1953" spans="1:5" x14ac:dyDescent="0.2">
      <c r="A1953" s="228" t="s">
        <v>2155</v>
      </c>
      <c r="B1953" s="298">
        <v>181.951211234</v>
      </c>
      <c r="E1953" s="280">
        <v>75</v>
      </c>
    </row>
    <row r="1954" spans="1:5" x14ac:dyDescent="0.2">
      <c r="A1954" s="228" t="s">
        <v>2156</v>
      </c>
      <c r="B1954" s="298">
        <v>182.95082112599999</v>
      </c>
      <c r="E1954" s="280">
        <v>75</v>
      </c>
    </row>
    <row r="1955" spans="1:5" x14ac:dyDescent="0.2">
      <c r="A1955" s="228" t="s">
        <v>2157</v>
      </c>
      <c r="B1955" s="298">
        <v>183.95252410200001</v>
      </c>
      <c r="E1955" s="280">
        <v>75</v>
      </c>
    </row>
    <row r="1956" spans="1:5" x14ac:dyDescent="0.2">
      <c r="A1956" s="228" t="s">
        <v>2158</v>
      </c>
      <c r="B1956" s="298">
        <v>184.952955497</v>
      </c>
      <c r="E1956" s="280">
        <v>75</v>
      </c>
    </row>
    <row r="1957" spans="1:5" x14ac:dyDescent="0.2">
      <c r="A1957" s="228" t="s">
        <v>2159</v>
      </c>
      <c r="B1957" s="298">
        <v>185.954986271</v>
      </c>
      <c r="E1957" s="280">
        <v>75</v>
      </c>
    </row>
    <row r="1958" spans="1:5" x14ac:dyDescent="0.2">
      <c r="A1958" s="228" t="s">
        <v>2160</v>
      </c>
      <c r="B1958" s="298">
        <v>186.95575046499999</v>
      </c>
      <c r="E1958" s="280">
        <v>75</v>
      </c>
    </row>
    <row r="1959" spans="1:5" x14ac:dyDescent="0.2">
      <c r="A1959" s="228" t="s">
        <v>2161</v>
      </c>
      <c r="B1959" s="298">
        <v>187.958111965</v>
      </c>
      <c r="E1959" s="280">
        <v>75</v>
      </c>
    </row>
    <row r="1960" spans="1:5" x14ac:dyDescent="0.2">
      <c r="A1960" s="228" t="s">
        <v>2162</v>
      </c>
      <c r="B1960" s="298">
        <v>188.95922798800001</v>
      </c>
      <c r="E1960" s="280">
        <v>75</v>
      </c>
    </row>
    <row r="1961" spans="1:5" x14ac:dyDescent="0.2">
      <c r="A1961" s="228" t="s">
        <v>2163</v>
      </c>
      <c r="B1961" s="298">
        <v>189.96182713600001</v>
      </c>
      <c r="E1961" s="280">
        <v>75</v>
      </c>
    </row>
    <row r="1962" spans="1:5" x14ac:dyDescent="0.2">
      <c r="A1962" s="228" t="s">
        <v>2164</v>
      </c>
      <c r="B1962" s="298">
        <v>190.963123209</v>
      </c>
      <c r="E1962" s="280">
        <v>75</v>
      </c>
    </row>
    <row r="1963" spans="1:5" x14ac:dyDescent="0.2">
      <c r="A1963" s="228" t="s">
        <v>2165</v>
      </c>
      <c r="B1963" s="298">
        <v>191.96596</v>
      </c>
      <c r="E1963" s="280">
        <v>75</v>
      </c>
    </row>
    <row r="1964" spans="1:5" x14ac:dyDescent="0.2">
      <c r="A1964" s="228" t="s">
        <v>2166</v>
      </c>
      <c r="B1964" s="298">
        <v>192.96746999999999</v>
      </c>
      <c r="E1964" s="280">
        <v>75</v>
      </c>
    </row>
    <row r="1965" spans="1:5" x14ac:dyDescent="0.2">
      <c r="A1965" s="287" t="s">
        <v>3180</v>
      </c>
      <c r="B1965" s="299">
        <v>260</v>
      </c>
      <c r="C1965" s="288"/>
      <c r="D1965" s="288"/>
      <c r="E1965" s="288">
        <v>104</v>
      </c>
    </row>
    <row r="1966" spans="1:5" x14ac:dyDescent="0.2">
      <c r="A1966" s="228" t="s">
        <v>2167</v>
      </c>
      <c r="B1966" s="298">
        <v>255.10150400000001</v>
      </c>
      <c r="E1966" s="280">
        <v>104</v>
      </c>
    </row>
    <row r="1967" spans="1:5" x14ac:dyDescent="0.2">
      <c r="A1967" s="228" t="s">
        <v>2168</v>
      </c>
      <c r="B1967" s="298">
        <v>256.10117920800002</v>
      </c>
      <c r="E1967" s="280">
        <v>104</v>
      </c>
    </row>
    <row r="1968" spans="1:5" x14ac:dyDescent="0.2">
      <c r="A1968" s="228" t="s">
        <v>2169</v>
      </c>
      <c r="B1968" s="298">
        <v>257.10322100000002</v>
      </c>
      <c r="E1968" s="280">
        <v>104</v>
      </c>
    </row>
    <row r="1969" spans="1:5" x14ac:dyDescent="0.2">
      <c r="A1969" s="228" t="s">
        <v>2170</v>
      </c>
      <c r="B1969" s="298">
        <v>258.10348099999999</v>
      </c>
      <c r="E1969" s="280">
        <v>104</v>
      </c>
    </row>
    <row r="1970" spans="1:5" x14ac:dyDescent="0.2">
      <c r="A1970" s="228" t="s">
        <v>2171</v>
      </c>
      <c r="B1970" s="298">
        <v>259.105615</v>
      </c>
      <c r="E1970" s="280">
        <v>104</v>
      </c>
    </row>
    <row r="1971" spans="1:5" x14ac:dyDescent="0.2">
      <c r="A1971" s="228" t="s">
        <v>2172</v>
      </c>
      <c r="B1971" s="298">
        <v>260.10654</v>
      </c>
      <c r="E1971" s="280">
        <v>104</v>
      </c>
    </row>
    <row r="1972" spans="1:5" x14ac:dyDescent="0.2">
      <c r="A1972" s="228" t="s">
        <v>2173</v>
      </c>
      <c r="B1972" s="298">
        <v>261.10891199999998</v>
      </c>
      <c r="E1972" s="280">
        <v>104</v>
      </c>
    </row>
    <row r="1973" spans="1:5" x14ac:dyDescent="0.2">
      <c r="A1973" s="228" t="s">
        <v>2174</v>
      </c>
      <c r="B1973" s="298">
        <v>262.11009000000001</v>
      </c>
      <c r="E1973" s="280">
        <v>104</v>
      </c>
    </row>
    <row r="1974" spans="1:5" x14ac:dyDescent="0.2">
      <c r="A1974" s="228" t="s">
        <v>2175</v>
      </c>
      <c r="B1974" s="298">
        <v>263.11272000000002</v>
      </c>
      <c r="E1974" s="280">
        <v>104</v>
      </c>
    </row>
    <row r="1975" spans="1:5" x14ac:dyDescent="0.2">
      <c r="A1975" s="228" t="s">
        <v>2176</v>
      </c>
      <c r="B1975" s="298">
        <v>264.11412000000001</v>
      </c>
      <c r="E1975" s="280">
        <v>104</v>
      </c>
    </row>
    <row r="1976" spans="1:5" x14ac:dyDescent="0.2">
      <c r="A1976" s="228" t="s">
        <v>2177</v>
      </c>
      <c r="B1976" s="298">
        <v>265.11680000000001</v>
      </c>
      <c r="E1976" s="280">
        <v>104</v>
      </c>
    </row>
    <row r="1977" spans="1:5" x14ac:dyDescent="0.2">
      <c r="A1977" s="228" t="s">
        <v>2178</v>
      </c>
      <c r="B1977" s="298">
        <v>266.11851999999999</v>
      </c>
      <c r="E1977" s="280">
        <v>104</v>
      </c>
    </row>
    <row r="1978" spans="1:5" x14ac:dyDescent="0.2">
      <c r="A1978" s="287" t="s">
        <v>2179</v>
      </c>
      <c r="B1978" s="299">
        <v>102.9055</v>
      </c>
      <c r="C1978" s="288">
        <v>0</v>
      </c>
      <c r="D1978" s="288">
        <v>0</v>
      </c>
      <c r="E1978" s="288">
        <v>45</v>
      </c>
    </row>
    <row r="1979" spans="1:5" x14ac:dyDescent="0.2">
      <c r="A1979" s="228" t="s">
        <v>2180</v>
      </c>
      <c r="B1979" s="298">
        <v>99.908115860999999</v>
      </c>
      <c r="E1979" s="280">
        <v>45</v>
      </c>
    </row>
    <row r="1980" spans="1:5" x14ac:dyDescent="0.2">
      <c r="A1980" s="228" t="s">
        <v>2181</v>
      </c>
      <c r="B1980" s="298">
        <v>100.90616289800001</v>
      </c>
      <c r="E1980" s="280">
        <v>45</v>
      </c>
    </row>
    <row r="1981" spans="1:5" x14ac:dyDescent="0.2">
      <c r="A1981" s="228" t="s">
        <v>2182</v>
      </c>
      <c r="B1981" s="298">
        <v>101.90684218</v>
      </c>
      <c r="E1981" s="280">
        <v>45</v>
      </c>
    </row>
    <row r="1982" spans="1:5" x14ac:dyDescent="0.2">
      <c r="A1982" s="228" t="s">
        <v>2183</v>
      </c>
      <c r="B1982" s="298">
        <v>102.90550355400001</v>
      </c>
      <c r="E1982" s="280">
        <v>45</v>
      </c>
    </row>
    <row r="1983" spans="1:5" x14ac:dyDescent="0.2">
      <c r="A1983" s="228" t="s">
        <v>2184</v>
      </c>
      <c r="B1983" s="298">
        <v>103.906654686</v>
      </c>
      <c r="E1983" s="280">
        <v>45</v>
      </c>
    </row>
    <row r="1984" spans="1:5" x14ac:dyDescent="0.2">
      <c r="A1984" s="228" t="s">
        <v>2185</v>
      </c>
      <c r="B1984" s="298">
        <v>104.90569173199999</v>
      </c>
      <c r="E1984" s="280">
        <v>45</v>
      </c>
    </row>
    <row r="1985" spans="1:5" x14ac:dyDescent="0.2">
      <c r="A1985" s="228" t="s">
        <v>2186</v>
      </c>
      <c r="B1985" s="298">
        <v>105.907285054</v>
      </c>
      <c r="E1985" s="280">
        <v>45</v>
      </c>
    </row>
    <row r="1986" spans="1:5" x14ac:dyDescent="0.2">
      <c r="A1986" s="228" t="s">
        <v>2187</v>
      </c>
      <c r="B1986" s="298">
        <v>106.90675086500001</v>
      </c>
      <c r="E1986" s="280">
        <v>45</v>
      </c>
    </row>
    <row r="1987" spans="1:5" x14ac:dyDescent="0.2">
      <c r="A1987" s="228" t="s">
        <v>2188</v>
      </c>
      <c r="B1987" s="298">
        <v>107.908731112</v>
      </c>
      <c r="E1987" s="280">
        <v>45</v>
      </c>
    </row>
    <row r="1988" spans="1:5" x14ac:dyDescent="0.2">
      <c r="A1988" s="228" t="s">
        <v>2189</v>
      </c>
      <c r="B1988" s="298">
        <v>108.90873589500001</v>
      </c>
      <c r="E1988" s="280">
        <v>45</v>
      </c>
    </row>
    <row r="1989" spans="1:5" x14ac:dyDescent="0.2">
      <c r="A1989" s="228" t="s">
        <v>2190</v>
      </c>
      <c r="B1989" s="298">
        <v>109.91094979899999</v>
      </c>
      <c r="E1989" s="280">
        <v>45</v>
      </c>
    </row>
    <row r="1990" spans="1:5" x14ac:dyDescent="0.2">
      <c r="A1990" s="228" t="s">
        <v>2191</v>
      </c>
      <c r="B1990" s="298">
        <v>110.91166</v>
      </c>
      <c r="E1990" s="280">
        <v>45</v>
      </c>
    </row>
    <row r="1991" spans="1:5" x14ac:dyDescent="0.2">
      <c r="A1991" s="228" t="s">
        <v>2192</v>
      </c>
      <c r="B1991" s="298">
        <v>111.914614</v>
      </c>
      <c r="E1991" s="280">
        <v>45</v>
      </c>
    </row>
    <row r="1992" spans="1:5" x14ac:dyDescent="0.2">
      <c r="A1992" s="228" t="s">
        <v>2193</v>
      </c>
      <c r="B1992" s="298">
        <v>112.91542</v>
      </c>
      <c r="E1992" s="280">
        <v>45</v>
      </c>
    </row>
    <row r="1993" spans="1:5" x14ac:dyDescent="0.2">
      <c r="A1993" s="228" t="s">
        <v>2194</v>
      </c>
      <c r="B1993" s="298">
        <v>113.918847</v>
      </c>
      <c r="E1993" s="280">
        <v>45</v>
      </c>
    </row>
    <row r="1994" spans="1:5" x14ac:dyDescent="0.2">
      <c r="A1994" s="228" t="s">
        <v>2195</v>
      </c>
      <c r="B1994" s="298">
        <v>114.92012511</v>
      </c>
      <c r="E1994" s="280">
        <v>45</v>
      </c>
    </row>
    <row r="1995" spans="1:5" x14ac:dyDescent="0.2">
      <c r="A1995" s="228" t="s">
        <v>2196</v>
      </c>
      <c r="B1995" s="298">
        <v>115.923722</v>
      </c>
      <c r="E1995" s="280">
        <v>45</v>
      </c>
    </row>
    <row r="1996" spans="1:5" x14ac:dyDescent="0.2">
      <c r="A1996" s="228" t="s">
        <v>2197</v>
      </c>
      <c r="B1996" s="298">
        <v>116.92534999999999</v>
      </c>
      <c r="E1996" s="280">
        <v>45</v>
      </c>
    </row>
    <row r="1997" spans="1:5" x14ac:dyDescent="0.2">
      <c r="A1997" s="228" t="s">
        <v>2198</v>
      </c>
      <c r="B1997" s="298">
        <v>117.92943</v>
      </c>
      <c r="E1997" s="280">
        <v>45</v>
      </c>
    </row>
    <row r="1998" spans="1:5" x14ac:dyDescent="0.2">
      <c r="A1998" s="228" t="s">
        <v>2199</v>
      </c>
      <c r="B1998" s="298">
        <v>118.93136</v>
      </c>
      <c r="E1998" s="280">
        <v>45</v>
      </c>
    </row>
    <row r="1999" spans="1:5" x14ac:dyDescent="0.2">
      <c r="A1999" s="228" t="s">
        <v>2200</v>
      </c>
      <c r="B1999" s="298">
        <v>91.931979999999996</v>
      </c>
      <c r="E1999" s="280">
        <v>45</v>
      </c>
    </row>
    <row r="2000" spans="1:5" x14ac:dyDescent="0.2">
      <c r="A2000" s="228" t="s">
        <v>2201</v>
      </c>
      <c r="B2000" s="298">
        <v>92.925740000000005</v>
      </c>
      <c r="E2000" s="280">
        <v>45</v>
      </c>
    </row>
    <row r="2001" spans="1:5" x14ac:dyDescent="0.2">
      <c r="A2001" s="228" t="s">
        <v>2202</v>
      </c>
      <c r="B2001" s="298">
        <v>93.921704000000005</v>
      </c>
      <c r="E2001" s="280">
        <v>45</v>
      </c>
    </row>
    <row r="2002" spans="1:5" x14ac:dyDescent="0.2">
      <c r="A2002" s="228" t="s">
        <v>2203</v>
      </c>
      <c r="B2002" s="298">
        <v>94.915903817</v>
      </c>
      <c r="E2002" s="280">
        <v>45</v>
      </c>
    </row>
    <row r="2003" spans="1:5" x14ac:dyDescent="0.2">
      <c r="A2003" s="228" t="s">
        <v>2204</v>
      </c>
      <c r="B2003" s="298">
        <v>95.914524086</v>
      </c>
      <c r="E2003" s="280">
        <v>45</v>
      </c>
    </row>
    <row r="2004" spans="1:5" x14ac:dyDescent="0.2">
      <c r="A2004" s="228" t="s">
        <v>2205</v>
      </c>
      <c r="B2004" s="298">
        <v>96.911342516999994</v>
      </c>
      <c r="E2004" s="280">
        <v>45</v>
      </c>
    </row>
    <row r="2005" spans="1:5" x14ac:dyDescent="0.2">
      <c r="A2005" s="228" t="s">
        <v>2206</v>
      </c>
      <c r="B2005" s="298">
        <v>97.910716308999994</v>
      </c>
      <c r="E2005" s="280">
        <v>45</v>
      </c>
    </row>
    <row r="2006" spans="1:5" x14ac:dyDescent="0.2">
      <c r="A2006" s="228" t="s">
        <v>2207</v>
      </c>
      <c r="B2006" s="298">
        <v>98.908196200999996</v>
      </c>
      <c r="E2006" s="280">
        <v>45</v>
      </c>
    </row>
    <row r="2007" spans="1:5" x14ac:dyDescent="0.2">
      <c r="A2007" s="287" t="s">
        <v>2208</v>
      </c>
      <c r="B2007" s="299">
        <v>222</v>
      </c>
      <c r="C2007" s="288">
        <v>0</v>
      </c>
      <c r="D2007" s="288">
        <v>0</v>
      </c>
      <c r="E2007" s="288">
        <v>86</v>
      </c>
    </row>
    <row r="2008" spans="1:5" x14ac:dyDescent="0.2">
      <c r="A2008" s="228" t="s">
        <v>2209</v>
      </c>
      <c r="B2008" s="298">
        <v>197.99877122199999</v>
      </c>
      <c r="E2008" s="280">
        <v>86</v>
      </c>
    </row>
    <row r="2009" spans="1:5" x14ac:dyDescent="0.2">
      <c r="A2009" s="228" t="s">
        <v>2210</v>
      </c>
      <c r="B2009" s="298">
        <v>198.99830900000001</v>
      </c>
      <c r="E2009" s="280">
        <v>86</v>
      </c>
    </row>
    <row r="2010" spans="1:5" x14ac:dyDescent="0.2">
      <c r="A2010" s="228" t="s">
        <v>2211</v>
      </c>
      <c r="B2010" s="298">
        <v>199.99567400000001</v>
      </c>
      <c r="E2010" s="280">
        <v>86</v>
      </c>
    </row>
    <row r="2011" spans="1:5" x14ac:dyDescent="0.2">
      <c r="A2011" s="228" t="s">
        <v>2212</v>
      </c>
      <c r="B2011" s="298">
        <v>200.99553499999999</v>
      </c>
      <c r="E2011" s="280">
        <v>86</v>
      </c>
    </row>
    <row r="2012" spans="1:5" x14ac:dyDescent="0.2">
      <c r="A2012" s="228" t="s">
        <v>2213</v>
      </c>
      <c r="B2012" s="298">
        <v>201.99322100000001</v>
      </c>
      <c r="E2012" s="280">
        <v>86</v>
      </c>
    </row>
    <row r="2013" spans="1:5" x14ac:dyDescent="0.2">
      <c r="A2013" s="228" t="s">
        <v>2214</v>
      </c>
      <c r="B2013" s="298">
        <v>202.99331599999999</v>
      </c>
      <c r="E2013" s="280">
        <v>86</v>
      </c>
    </row>
    <row r="2014" spans="1:5" x14ac:dyDescent="0.2">
      <c r="A2014" s="228" t="s">
        <v>2215</v>
      </c>
      <c r="B2014" s="298">
        <v>203.991366</v>
      </c>
      <c r="E2014" s="280">
        <v>86</v>
      </c>
    </row>
    <row r="2015" spans="1:5" x14ac:dyDescent="0.2">
      <c r="A2015" s="228" t="s">
        <v>2216</v>
      </c>
      <c r="B2015" s="298">
        <v>204.991668</v>
      </c>
      <c r="E2015" s="280">
        <v>86</v>
      </c>
    </row>
    <row r="2016" spans="1:5" x14ac:dyDescent="0.2">
      <c r="A2016" s="228" t="s">
        <v>2217</v>
      </c>
      <c r="B2016" s="298">
        <v>205.99016</v>
      </c>
      <c r="E2016" s="280">
        <v>86</v>
      </c>
    </row>
    <row r="2017" spans="1:5" x14ac:dyDescent="0.2">
      <c r="A2017" s="228" t="s">
        <v>2218</v>
      </c>
      <c r="B2017" s="298">
        <v>206.99072597399999</v>
      </c>
      <c r="E2017" s="280">
        <v>86</v>
      </c>
    </row>
    <row r="2018" spans="1:5" x14ac:dyDescent="0.2">
      <c r="A2018" s="228" t="s">
        <v>2219</v>
      </c>
      <c r="B2018" s="298">
        <v>207.98963084900001</v>
      </c>
      <c r="E2018" s="280">
        <v>86</v>
      </c>
    </row>
    <row r="2019" spans="1:5" x14ac:dyDescent="0.2">
      <c r="A2019" s="228" t="s">
        <v>2220</v>
      </c>
      <c r="B2019" s="298">
        <v>208.99037623800001</v>
      </c>
      <c r="E2019" s="280">
        <v>86</v>
      </c>
    </row>
    <row r="2020" spans="1:5" x14ac:dyDescent="0.2">
      <c r="A2020" s="228" t="s">
        <v>2221</v>
      </c>
      <c r="B2020" s="298">
        <v>209.98967948200001</v>
      </c>
      <c r="E2020" s="280">
        <v>86</v>
      </c>
    </row>
    <row r="2021" spans="1:5" x14ac:dyDescent="0.2">
      <c r="A2021" s="228" t="s">
        <v>2222</v>
      </c>
      <c r="B2021" s="298">
        <v>210.990585315</v>
      </c>
      <c r="E2021" s="280">
        <v>86</v>
      </c>
    </row>
    <row r="2022" spans="1:5" x14ac:dyDescent="0.2">
      <c r="A2022" s="228" t="s">
        <v>2223</v>
      </c>
      <c r="B2022" s="298">
        <v>211.990688511</v>
      </c>
      <c r="E2022" s="280">
        <v>86</v>
      </c>
    </row>
    <row r="2023" spans="1:5" x14ac:dyDescent="0.2">
      <c r="A2023" s="228" t="s">
        <v>2224</v>
      </c>
      <c r="B2023" s="298">
        <v>212.993867978</v>
      </c>
      <c r="E2023" s="280">
        <v>86</v>
      </c>
    </row>
    <row r="2024" spans="1:5" x14ac:dyDescent="0.2">
      <c r="A2024" s="228" t="s">
        <v>2225</v>
      </c>
      <c r="B2024" s="298">
        <v>213.995346031</v>
      </c>
      <c r="E2024" s="280">
        <v>86</v>
      </c>
    </row>
    <row r="2025" spans="1:5" x14ac:dyDescent="0.2">
      <c r="A2025" s="228" t="s">
        <v>2226</v>
      </c>
      <c r="B2025" s="298">
        <v>214.99872895600001</v>
      </c>
      <c r="E2025" s="280">
        <v>86</v>
      </c>
    </row>
    <row r="2026" spans="1:5" x14ac:dyDescent="0.2">
      <c r="A2026" s="228" t="s">
        <v>2227</v>
      </c>
      <c r="B2026" s="298">
        <v>216.00025791600001</v>
      </c>
      <c r="E2026" s="280">
        <v>86</v>
      </c>
    </row>
    <row r="2027" spans="1:5" x14ac:dyDescent="0.2">
      <c r="A2027" s="228" t="s">
        <v>2228</v>
      </c>
      <c r="B2027" s="298">
        <v>217.003914796</v>
      </c>
      <c r="E2027" s="280">
        <v>86</v>
      </c>
    </row>
    <row r="2028" spans="1:5" x14ac:dyDescent="0.2">
      <c r="A2028" s="228" t="s">
        <v>2229</v>
      </c>
      <c r="B2028" s="298">
        <v>218.00558630800001</v>
      </c>
      <c r="C2028" s="280">
        <v>35</v>
      </c>
      <c r="D2028" s="280" t="s">
        <v>184</v>
      </c>
      <c r="E2028" s="280">
        <v>86</v>
      </c>
    </row>
    <row r="2029" spans="1:5" x14ac:dyDescent="0.2">
      <c r="A2029" s="228" t="s">
        <v>2230</v>
      </c>
      <c r="B2029" s="298">
        <v>219.009475022</v>
      </c>
      <c r="C2029" s="280">
        <v>3.96</v>
      </c>
      <c r="D2029" s="280" t="s">
        <v>168</v>
      </c>
      <c r="E2029" s="280">
        <v>86</v>
      </c>
    </row>
    <row r="2030" spans="1:5" x14ac:dyDescent="0.2">
      <c r="A2030" s="228" t="s">
        <v>2231</v>
      </c>
      <c r="B2030" s="298">
        <v>220.011383784</v>
      </c>
      <c r="C2030" s="280">
        <v>55.6</v>
      </c>
      <c r="D2030" s="280" t="s">
        <v>168</v>
      </c>
      <c r="E2030" s="280">
        <v>86</v>
      </c>
    </row>
    <row r="2031" spans="1:5" x14ac:dyDescent="0.2">
      <c r="A2031" s="228" t="s">
        <v>2232</v>
      </c>
      <c r="B2031" s="298">
        <v>221.01555099999999</v>
      </c>
      <c r="C2031" s="280">
        <v>25</v>
      </c>
      <c r="D2031" s="280" t="s">
        <v>218</v>
      </c>
      <c r="E2031" s="280">
        <v>86</v>
      </c>
    </row>
    <row r="2032" spans="1:5" x14ac:dyDescent="0.2">
      <c r="A2032" s="228" t="s">
        <v>2233</v>
      </c>
      <c r="B2032" s="298">
        <v>222.01756946699999</v>
      </c>
      <c r="C2032" s="280">
        <v>3.8235000000000001</v>
      </c>
      <c r="D2032" s="280" t="s">
        <v>192</v>
      </c>
      <c r="E2032" s="280">
        <v>86</v>
      </c>
    </row>
    <row r="2033" spans="1:5" x14ac:dyDescent="0.2">
      <c r="A2033" s="287" t="s">
        <v>2234</v>
      </c>
      <c r="B2033" s="299">
        <v>101.07</v>
      </c>
      <c r="C2033" s="288">
        <v>0</v>
      </c>
      <c r="D2033" s="288">
        <v>0</v>
      </c>
      <c r="E2033" s="288">
        <v>44</v>
      </c>
    </row>
    <row r="2034" spans="1:5" x14ac:dyDescent="0.2">
      <c r="A2034" s="228" t="s">
        <v>2235</v>
      </c>
      <c r="B2034" s="298">
        <v>99.904218895</v>
      </c>
      <c r="E2034" s="280">
        <v>44</v>
      </c>
    </row>
    <row r="2035" spans="1:5" x14ac:dyDescent="0.2">
      <c r="A2035" s="228" t="s">
        <v>2236</v>
      </c>
      <c r="B2035" s="298">
        <v>100.905581484</v>
      </c>
      <c r="E2035" s="280">
        <v>44</v>
      </c>
    </row>
    <row r="2036" spans="1:5" x14ac:dyDescent="0.2">
      <c r="A2036" s="228" t="s">
        <v>2237</v>
      </c>
      <c r="B2036" s="298">
        <v>101.90434876899999</v>
      </c>
      <c r="E2036" s="280">
        <v>44</v>
      </c>
    </row>
    <row r="2037" spans="1:5" x14ac:dyDescent="0.2">
      <c r="A2037" s="228" t="s">
        <v>2238</v>
      </c>
      <c r="B2037" s="298">
        <v>102.906322946</v>
      </c>
      <c r="E2037" s="280">
        <v>44</v>
      </c>
    </row>
    <row r="2038" spans="1:5" x14ac:dyDescent="0.2">
      <c r="A2038" s="228" t="s">
        <v>2239</v>
      </c>
      <c r="B2038" s="298">
        <v>103.905429505</v>
      </c>
      <c r="E2038" s="280">
        <v>44</v>
      </c>
    </row>
    <row r="2039" spans="1:5" x14ac:dyDescent="0.2">
      <c r="A2039" s="228" t="s">
        <v>2240</v>
      </c>
      <c r="B2039" s="298">
        <v>104.907749701</v>
      </c>
      <c r="E2039" s="280">
        <v>44</v>
      </c>
    </row>
    <row r="2040" spans="1:5" x14ac:dyDescent="0.2">
      <c r="A2040" s="228" t="s">
        <v>2241</v>
      </c>
      <c r="B2040" s="298">
        <v>105.907327352</v>
      </c>
      <c r="E2040" s="280">
        <v>44</v>
      </c>
    </row>
    <row r="2041" spans="1:5" x14ac:dyDescent="0.2">
      <c r="A2041" s="228" t="s">
        <v>2242</v>
      </c>
      <c r="B2041" s="298">
        <v>106.909907531</v>
      </c>
      <c r="E2041" s="280">
        <v>44</v>
      </c>
    </row>
    <row r="2042" spans="1:5" x14ac:dyDescent="0.2">
      <c r="A2042" s="228" t="s">
        <v>2243</v>
      </c>
      <c r="B2042" s="298">
        <v>107.91019255400001</v>
      </c>
      <c r="E2042" s="280">
        <v>44</v>
      </c>
    </row>
    <row r="2043" spans="1:5" x14ac:dyDescent="0.2">
      <c r="A2043" s="228" t="s">
        <v>2244</v>
      </c>
      <c r="B2043" s="298">
        <v>108.91320184</v>
      </c>
      <c r="E2043" s="280">
        <v>44</v>
      </c>
    </row>
    <row r="2044" spans="1:5" x14ac:dyDescent="0.2">
      <c r="A2044" s="228" t="s">
        <v>2245</v>
      </c>
      <c r="B2044" s="298">
        <v>109.91396645899999</v>
      </c>
      <c r="E2044" s="280">
        <v>44</v>
      </c>
    </row>
    <row r="2045" spans="1:5" x14ac:dyDescent="0.2">
      <c r="A2045" s="228" t="s">
        <v>2246</v>
      </c>
      <c r="B2045" s="298">
        <v>110.91755999999999</v>
      </c>
      <c r="E2045" s="280">
        <v>44</v>
      </c>
    </row>
    <row r="2046" spans="1:5" x14ac:dyDescent="0.2">
      <c r="A2046" s="228" t="s">
        <v>2247</v>
      </c>
      <c r="B2046" s="298">
        <v>111.918554</v>
      </c>
      <c r="E2046" s="280">
        <v>44</v>
      </c>
    </row>
    <row r="2047" spans="1:5" x14ac:dyDescent="0.2">
      <c r="A2047" s="228" t="s">
        <v>2248</v>
      </c>
      <c r="B2047" s="298">
        <v>112.92254</v>
      </c>
      <c r="E2047" s="280">
        <v>44</v>
      </c>
    </row>
    <row r="2048" spans="1:5" x14ac:dyDescent="0.2">
      <c r="A2048" s="228" t="s">
        <v>2249</v>
      </c>
      <c r="B2048" s="298">
        <v>113.92400000000001</v>
      </c>
      <c r="E2048" s="280">
        <v>44</v>
      </c>
    </row>
    <row r="2049" spans="1:5" x14ac:dyDescent="0.2">
      <c r="A2049" s="228" t="s">
        <v>2250</v>
      </c>
      <c r="B2049" s="298">
        <v>114.92831</v>
      </c>
      <c r="E2049" s="280">
        <v>44</v>
      </c>
    </row>
    <row r="2050" spans="1:5" x14ac:dyDescent="0.2">
      <c r="A2050" s="228" t="s">
        <v>2251</v>
      </c>
      <c r="B2050" s="298">
        <v>115.93004999999999</v>
      </c>
      <c r="E2050" s="280">
        <v>44</v>
      </c>
    </row>
    <row r="2051" spans="1:5" x14ac:dyDescent="0.2">
      <c r="A2051" s="228" t="s">
        <v>2252</v>
      </c>
      <c r="B2051" s="298">
        <v>88.936109999999999</v>
      </c>
      <c r="E2051" s="280">
        <v>44</v>
      </c>
    </row>
    <row r="2052" spans="1:5" x14ac:dyDescent="0.2">
      <c r="A2052" s="228" t="s">
        <v>2253</v>
      </c>
      <c r="B2052" s="298">
        <v>89.929779999999994</v>
      </c>
      <c r="E2052" s="280">
        <v>44</v>
      </c>
    </row>
    <row r="2053" spans="1:5" x14ac:dyDescent="0.2">
      <c r="A2053" s="228" t="s">
        <v>2254</v>
      </c>
      <c r="B2053" s="298">
        <v>90.926375965999995</v>
      </c>
      <c r="E2053" s="280">
        <v>44</v>
      </c>
    </row>
    <row r="2054" spans="1:5" x14ac:dyDescent="0.2">
      <c r="A2054" s="228" t="s">
        <v>2255</v>
      </c>
      <c r="B2054" s="298">
        <v>91.920119999999997</v>
      </c>
      <c r="E2054" s="280">
        <v>44</v>
      </c>
    </row>
    <row r="2055" spans="1:5" x14ac:dyDescent="0.2">
      <c r="A2055" s="228" t="s">
        <v>2256</v>
      </c>
      <c r="B2055" s="298">
        <v>92.917050576999998</v>
      </c>
      <c r="E2055" s="280">
        <v>44</v>
      </c>
    </row>
    <row r="2056" spans="1:5" x14ac:dyDescent="0.2">
      <c r="A2056" s="228" t="s">
        <v>2257</v>
      </c>
      <c r="B2056" s="298">
        <v>93.911365442999994</v>
      </c>
      <c r="E2056" s="280">
        <v>44</v>
      </c>
    </row>
    <row r="2057" spans="1:5" x14ac:dyDescent="0.2">
      <c r="A2057" s="228" t="s">
        <v>2258</v>
      </c>
      <c r="B2057" s="298">
        <v>94.910418004999997</v>
      </c>
      <c r="E2057" s="280">
        <v>44</v>
      </c>
    </row>
    <row r="2058" spans="1:5" x14ac:dyDescent="0.2">
      <c r="A2058" s="228" t="s">
        <v>2259</v>
      </c>
      <c r="B2058" s="298">
        <v>95.907603554999994</v>
      </c>
      <c r="E2058" s="280">
        <v>44</v>
      </c>
    </row>
    <row r="2059" spans="1:5" x14ac:dyDescent="0.2">
      <c r="A2059" s="228" t="s">
        <v>2260</v>
      </c>
      <c r="B2059" s="298">
        <v>96.907560419999996</v>
      </c>
      <c r="E2059" s="280">
        <v>44</v>
      </c>
    </row>
    <row r="2060" spans="1:5" x14ac:dyDescent="0.2">
      <c r="A2060" s="228" t="s">
        <v>2261</v>
      </c>
      <c r="B2060" s="298">
        <v>97.905286989999993</v>
      </c>
      <c r="E2060" s="280">
        <v>44</v>
      </c>
    </row>
    <row r="2061" spans="1:5" x14ac:dyDescent="0.2">
      <c r="A2061" s="228" t="s">
        <v>2262</v>
      </c>
      <c r="B2061" s="298">
        <v>98.905938536999997</v>
      </c>
      <c r="E2061" s="280">
        <v>44</v>
      </c>
    </row>
    <row r="2062" spans="1:5" x14ac:dyDescent="0.2">
      <c r="A2062" s="287" t="s">
        <v>2263</v>
      </c>
      <c r="B2062" s="299">
        <v>32.06</v>
      </c>
      <c r="C2062" s="288">
        <v>0</v>
      </c>
      <c r="D2062" s="288">
        <v>0</v>
      </c>
      <c r="E2062" s="288">
        <v>16</v>
      </c>
    </row>
    <row r="2063" spans="1:5" x14ac:dyDescent="0.2">
      <c r="A2063" s="228" t="s">
        <v>2264</v>
      </c>
      <c r="B2063" s="298">
        <v>26.02788</v>
      </c>
      <c r="E2063" s="280">
        <v>16</v>
      </c>
    </row>
    <row r="2064" spans="1:5" x14ac:dyDescent="0.2">
      <c r="A2064" s="228" t="s">
        <v>2265</v>
      </c>
      <c r="B2064" s="298">
        <v>27.018795000000001</v>
      </c>
      <c r="E2064" s="280">
        <v>16</v>
      </c>
    </row>
    <row r="2065" spans="1:5" x14ac:dyDescent="0.2">
      <c r="A2065" s="228" t="s">
        <v>2266</v>
      </c>
      <c r="B2065" s="298">
        <v>28.004372622000002</v>
      </c>
      <c r="E2065" s="280">
        <v>16</v>
      </c>
    </row>
    <row r="2066" spans="1:5" x14ac:dyDescent="0.2">
      <c r="A2066" s="228" t="s">
        <v>2267</v>
      </c>
      <c r="B2066" s="298">
        <v>28.996608846000001</v>
      </c>
      <c r="E2066" s="280">
        <v>16</v>
      </c>
    </row>
    <row r="2067" spans="1:5" x14ac:dyDescent="0.2">
      <c r="A2067" s="228" t="s">
        <v>2268</v>
      </c>
      <c r="B2067" s="298">
        <v>29.984902994999999</v>
      </c>
      <c r="E2067" s="280">
        <v>16</v>
      </c>
    </row>
    <row r="2068" spans="1:5" x14ac:dyDescent="0.2">
      <c r="A2068" s="228" t="s">
        <v>2269</v>
      </c>
      <c r="B2068" s="298">
        <v>30.979554461999999</v>
      </c>
      <c r="E2068" s="280">
        <v>16</v>
      </c>
    </row>
    <row r="2069" spans="1:5" x14ac:dyDescent="0.2">
      <c r="A2069" s="228" t="s">
        <v>2270</v>
      </c>
      <c r="B2069" s="298">
        <v>31.972070730999999</v>
      </c>
      <c r="C2069" s="280">
        <v>0</v>
      </c>
      <c r="E2069" s="280">
        <v>16</v>
      </c>
    </row>
    <row r="2070" spans="1:5" x14ac:dyDescent="0.2">
      <c r="A2070" s="228" t="s">
        <v>2271</v>
      </c>
      <c r="B2070" s="298">
        <v>32.971458538</v>
      </c>
      <c r="C2070" s="280">
        <v>0</v>
      </c>
      <c r="E2070" s="280">
        <v>16</v>
      </c>
    </row>
    <row r="2071" spans="1:5" x14ac:dyDescent="0.2">
      <c r="A2071" s="228" t="s">
        <v>2272</v>
      </c>
      <c r="B2071" s="298">
        <v>33.967866872999998</v>
      </c>
      <c r="C2071" s="280">
        <v>0</v>
      </c>
      <c r="E2071" s="280">
        <v>16</v>
      </c>
    </row>
    <row r="2072" spans="1:5" x14ac:dyDescent="0.2">
      <c r="A2072" s="228" t="s">
        <v>2273</v>
      </c>
      <c r="B2072" s="298">
        <v>34.969032184</v>
      </c>
      <c r="C2072" s="280">
        <v>87.2</v>
      </c>
      <c r="D2072" s="280" t="s">
        <v>192</v>
      </c>
      <c r="E2072" s="280">
        <v>16</v>
      </c>
    </row>
    <row r="2073" spans="1:5" x14ac:dyDescent="0.2">
      <c r="A2073" s="228" t="s">
        <v>2274</v>
      </c>
      <c r="B2073" s="298">
        <v>35.967080875999997</v>
      </c>
      <c r="C2073" s="280">
        <v>0</v>
      </c>
      <c r="E2073" s="280">
        <v>16</v>
      </c>
    </row>
    <row r="2074" spans="1:5" x14ac:dyDescent="0.2">
      <c r="A2074" s="228" t="s">
        <v>2275</v>
      </c>
      <c r="B2074" s="298">
        <v>36.971125712000003</v>
      </c>
      <c r="E2074" s="280">
        <v>16</v>
      </c>
    </row>
    <row r="2075" spans="1:5" x14ac:dyDescent="0.2">
      <c r="A2075" s="228" t="s">
        <v>2276</v>
      </c>
      <c r="B2075" s="298">
        <v>37.971163439000001</v>
      </c>
      <c r="E2075" s="280">
        <v>16</v>
      </c>
    </row>
    <row r="2076" spans="1:5" x14ac:dyDescent="0.2">
      <c r="A2076" s="228" t="s">
        <v>2277</v>
      </c>
      <c r="B2076" s="298">
        <v>38.975135275</v>
      </c>
      <c r="E2076" s="280">
        <v>16</v>
      </c>
    </row>
    <row r="2077" spans="1:5" x14ac:dyDescent="0.2">
      <c r="A2077" s="228" t="s">
        <v>2278</v>
      </c>
      <c r="B2077" s="298">
        <v>39.975470000000001</v>
      </c>
      <c r="E2077" s="280">
        <v>16</v>
      </c>
    </row>
    <row r="2078" spans="1:5" x14ac:dyDescent="0.2">
      <c r="A2078" s="228" t="s">
        <v>2279</v>
      </c>
      <c r="B2078" s="298">
        <v>40.980029999999999</v>
      </c>
      <c r="E2078" s="280">
        <v>16</v>
      </c>
    </row>
    <row r="2079" spans="1:5" x14ac:dyDescent="0.2">
      <c r="A2079" s="228" t="s">
        <v>2280</v>
      </c>
      <c r="B2079" s="298">
        <v>41.981490000000001</v>
      </c>
      <c r="E2079" s="280">
        <v>16</v>
      </c>
    </row>
    <row r="2080" spans="1:5" x14ac:dyDescent="0.2">
      <c r="A2080" s="228" t="s">
        <v>2281</v>
      </c>
      <c r="B2080" s="298">
        <v>42.986600000000003</v>
      </c>
      <c r="E2080" s="280">
        <v>16</v>
      </c>
    </row>
    <row r="2081" spans="1:5" x14ac:dyDescent="0.2">
      <c r="A2081" s="228" t="s">
        <v>2282</v>
      </c>
      <c r="B2081" s="298">
        <v>43.988320000000002</v>
      </c>
      <c r="E2081" s="280">
        <v>16</v>
      </c>
    </row>
    <row r="2082" spans="1:5" x14ac:dyDescent="0.2">
      <c r="A2082" s="228" t="s">
        <v>2283</v>
      </c>
      <c r="B2082" s="298">
        <v>44.994819999999997</v>
      </c>
      <c r="E2082" s="280">
        <v>16</v>
      </c>
    </row>
    <row r="2083" spans="1:5" x14ac:dyDescent="0.2">
      <c r="A2083" s="287" t="s">
        <v>2284</v>
      </c>
      <c r="B2083" s="299">
        <v>121.75</v>
      </c>
      <c r="C2083" s="288">
        <v>0</v>
      </c>
      <c r="D2083" s="288">
        <v>0</v>
      </c>
      <c r="E2083" s="288">
        <v>51</v>
      </c>
    </row>
    <row r="2084" spans="1:5" x14ac:dyDescent="0.2">
      <c r="A2084" s="228" t="s">
        <v>2285</v>
      </c>
      <c r="B2084" s="298">
        <v>103.93662999999999</v>
      </c>
      <c r="E2084" s="280">
        <v>51</v>
      </c>
    </row>
    <row r="2085" spans="1:5" x14ac:dyDescent="0.2">
      <c r="A2085" s="228" t="s">
        <v>2286</v>
      </c>
      <c r="B2085" s="298">
        <v>104.93138999999999</v>
      </c>
      <c r="E2085" s="280">
        <v>51</v>
      </c>
    </row>
    <row r="2086" spans="1:5" x14ac:dyDescent="0.2">
      <c r="A2086" s="228" t="s">
        <v>2287</v>
      </c>
      <c r="B2086" s="298">
        <v>105.92876699999999</v>
      </c>
      <c r="E2086" s="280">
        <v>51</v>
      </c>
    </row>
    <row r="2087" spans="1:5" x14ac:dyDescent="0.2">
      <c r="A2087" s="228" t="s">
        <v>2288</v>
      </c>
      <c r="B2087" s="298">
        <v>106.92415</v>
      </c>
      <c r="E2087" s="280">
        <v>51</v>
      </c>
    </row>
    <row r="2088" spans="1:5" x14ac:dyDescent="0.2">
      <c r="A2088" s="228" t="s">
        <v>2289</v>
      </c>
      <c r="B2088" s="298">
        <v>107.92216000000001</v>
      </c>
      <c r="E2088" s="280">
        <v>51</v>
      </c>
    </row>
    <row r="2089" spans="1:5" x14ac:dyDescent="0.2">
      <c r="A2089" s="228" t="s">
        <v>2290</v>
      </c>
      <c r="B2089" s="298">
        <v>108.918137093</v>
      </c>
      <c r="E2089" s="280">
        <v>51</v>
      </c>
    </row>
    <row r="2090" spans="1:5" x14ac:dyDescent="0.2">
      <c r="A2090" s="228" t="s">
        <v>2291</v>
      </c>
      <c r="B2090" s="298">
        <v>109.916764</v>
      </c>
      <c r="E2090" s="280">
        <v>51</v>
      </c>
    </row>
    <row r="2091" spans="1:5" x14ac:dyDescent="0.2">
      <c r="A2091" s="228" t="s">
        <v>2292</v>
      </c>
      <c r="B2091" s="298">
        <v>110.913211</v>
      </c>
      <c r="E2091" s="280">
        <v>51</v>
      </c>
    </row>
    <row r="2092" spans="1:5" x14ac:dyDescent="0.2">
      <c r="A2092" s="228" t="s">
        <v>2293</v>
      </c>
      <c r="B2092" s="298">
        <v>111.91239564200001</v>
      </c>
      <c r="E2092" s="280">
        <v>51</v>
      </c>
    </row>
    <row r="2093" spans="1:5" x14ac:dyDescent="0.2">
      <c r="A2093" s="228" t="s">
        <v>2294</v>
      </c>
      <c r="B2093" s="298">
        <v>112.909367073</v>
      </c>
      <c r="E2093" s="280">
        <v>51</v>
      </c>
    </row>
    <row r="2094" spans="1:5" x14ac:dyDescent="0.2">
      <c r="A2094" s="228" t="s">
        <v>2295</v>
      </c>
      <c r="B2094" s="298">
        <v>113.90909703</v>
      </c>
      <c r="E2094" s="280">
        <v>51</v>
      </c>
    </row>
    <row r="2095" spans="1:5" x14ac:dyDescent="0.2">
      <c r="A2095" s="228" t="s">
        <v>2296</v>
      </c>
      <c r="B2095" s="298">
        <v>114.90660012799999</v>
      </c>
      <c r="E2095" s="280">
        <v>51</v>
      </c>
    </row>
    <row r="2096" spans="1:5" x14ac:dyDescent="0.2">
      <c r="A2096" s="228" t="s">
        <v>2297</v>
      </c>
      <c r="B2096" s="298">
        <v>115.906799097</v>
      </c>
      <c r="E2096" s="280">
        <v>51</v>
      </c>
    </row>
    <row r="2097" spans="1:5" x14ac:dyDescent="0.2">
      <c r="A2097" s="228" t="s">
        <v>2298</v>
      </c>
      <c r="B2097" s="298">
        <v>116.90484094999999</v>
      </c>
      <c r="E2097" s="280">
        <v>51</v>
      </c>
    </row>
    <row r="2098" spans="1:5" x14ac:dyDescent="0.2">
      <c r="A2098" s="228" t="s">
        <v>2299</v>
      </c>
      <c r="B2098" s="298">
        <v>117.905533416</v>
      </c>
      <c r="E2098" s="280">
        <v>51</v>
      </c>
    </row>
    <row r="2099" spans="1:5" x14ac:dyDescent="0.2">
      <c r="A2099" s="228" t="s">
        <v>2300</v>
      </c>
      <c r="B2099" s="298">
        <v>118.903948055</v>
      </c>
      <c r="E2099" s="280">
        <v>51</v>
      </c>
    </row>
    <row r="2100" spans="1:5" x14ac:dyDescent="0.2">
      <c r="A2100" s="228" t="s">
        <v>2301</v>
      </c>
      <c r="B2100" s="298">
        <v>119.90507628100001</v>
      </c>
      <c r="E2100" s="280">
        <v>51</v>
      </c>
    </row>
    <row r="2101" spans="1:5" x14ac:dyDescent="0.2">
      <c r="A2101" s="228" t="s">
        <v>2302</v>
      </c>
      <c r="B2101" s="298">
        <v>120.903822228</v>
      </c>
      <c r="E2101" s="280">
        <v>51</v>
      </c>
    </row>
    <row r="2102" spans="1:5" x14ac:dyDescent="0.2">
      <c r="A2102" s="228" t="s">
        <v>2303</v>
      </c>
      <c r="B2102" s="298">
        <v>121.905179968</v>
      </c>
      <c r="E2102" s="280">
        <v>51</v>
      </c>
    </row>
    <row r="2103" spans="1:5" x14ac:dyDescent="0.2">
      <c r="A2103" s="228" t="s">
        <v>2304</v>
      </c>
      <c r="B2103" s="298">
        <v>122.90421596900001</v>
      </c>
      <c r="E2103" s="280">
        <v>51</v>
      </c>
    </row>
    <row r="2104" spans="1:5" x14ac:dyDescent="0.2">
      <c r="A2104" s="228" t="s">
        <v>2305</v>
      </c>
      <c r="B2104" s="298">
        <v>123.90593779700001</v>
      </c>
      <c r="E2104" s="280">
        <v>51</v>
      </c>
    </row>
    <row r="2105" spans="1:5" x14ac:dyDescent="0.2">
      <c r="A2105" s="228" t="s">
        <v>2306</v>
      </c>
      <c r="B2105" s="298">
        <v>124.905247198</v>
      </c>
      <c r="E2105" s="280">
        <v>51</v>
      </c>
    </row>
    <row r="2106" spans="1:5" x14ac:dyDescent="0.2">
      <c r="A2106" s="228" t="s">
        <v>2307</v>
      </c>
      <c r="B2106" s="298">
        <v>125.907248026</v>
      </c>
      <c r="E2106" s="280">
        <v>51</v>
      </c>
    </row>
    <row r="2107" spans="1:5" x14ac:dyDescent="0.2">
      <c r="A2107" s="228" t="s">
        <v>2308</v>
      </c>
      <c r="B2107" s="298">
        <v>126.906913946</v>
      </c>
      <c r="E2107" s="280">
        <v>51</v>
      </c>
    </row>
    <row r="2108" spans="1:5" x14ac:dyDescent="0.2">
      <c r="A2108" s="228" t="s">
        <v>2309</v>
      </c>
      <c r="B2108" s="298">
        <v>127.909167458</v>
      </c>
      <c r="E2108" s="280">
        <v>51</v>
      </c>
    </row>
    <row r="2109" spans="1:5" x14ac:dyDescent="0.2">
      <c r="A2109" s="228" t="s">
        <v>2310</v>
      </c>
      <c r="B2109" s="298">
        <v>128.90915035099999</v>
      </c>
      <c r="E2109" s="280">
        <v>51</v>
      </c>
    </row>
    <row r="2110" spans="1:5" x14ac:dyDescent="0.2">
      <c r="A2110" s="228" t="s">
        <v>2311</v>
      </c>
      <c r="B2110" s="298">
        <v>129.91154770399999</v>
      </c>
      <c r="E2110" s="280">
        <v>51</v>
      </c>
    </row>
    <row r="2111" spans="1:5" x14ac:dyDescent="0.2">
      <c r="A2111" s="228" t="s">
        <v>2312</v>
      </c>
      <c r="B2111" s="298">
        <v>130.91194665800001</v>
      </c>
      <c r="E2111" s="280">
        <v>51</v>
      </c>
    </row>
    <row r="2112" spans="1:5" x14ac:dyDescent="0.2">
      <c r="A2112" s="228" t="s">
        <v>2313</v>
      </c>
      <c r="B2112" s="298">
        <v>131.91419868099999</v>
      </c>
      <c r="E2112" s="280">
        <v>51</v>
      </c>
    </row>
    <row r="2113" spans="1:5" x14ac:dyDescent="0.2">
      <c r="A2113" s="228" t="s">
        <v>2314</v>
      </c>
      <c r="B2113" s="298">
        <v>132.915236755</v>
      </c>
      <c r="E2113" s="280">
        <v>51</v>
      </c>
    </row>
    <row r="2114" spans="1:5" x14ac:dyDescent="0.2">
      <c r="A2114" s="228" t="s">
        <v>2315</v>
      </c>
      <c r="B2114" s="298">
        <v>133.92058218700001</v>
      </c>
      <c r="E2114" s="280">
        <v>51</v>
      </c>
    </row>
    <row r="2115" spans="1:5" x14ac:dyDescent="0.2">
      <c r="A2115" s="228" t="s">
        <v>2316</v>
      </c>
      <c r="B2115" s="298">
        <v>134.92516831</v>
      </c>
      <c r="E2115" s="280">
        <v>51</v>
      </c>
    </row>
    <row r="2116" spans="1:5" x14ac:dyDescent="0.2">
      <c r="A2116" s="228" t="s">
        <v>2317</v>
      </c>
      <c r="B2116" s="298">
        <v>135.93012999999999</v>
      </c>
      <c r="E2116" s="280">
        <v>51</v>
      </c>
    </row>
    <row r="2117" spans="1:5" x14ac:dyDescent="0.2">
      <c r="A2117" s="287" t="s">
        <v>2318</v>
      </c>
      <c r="B2117" s="299">
        <v>44.9559</v>
      </c>
      <c r="C2117" s="288">
        <v>0</v>
      </c>
      <c r="D2117" s="288">
        <v>0</v>
      </c>
      <c r="E2117" s="288">
        <v>21</v>
      </c>
    </row>
    <row r="2118" spans="1:5" x14ac:dyDescent="0.2">
      <c r="A2118" s="228" t="s">
        <v>2319</v>
      </c>
      <c r="B2118" s="298">
        <v>36.014919999999996</v>
      </c>
      <c r="E2118" s="280">
        <v>21</v>
      </c>
    </row>
    <row r="2119" spans="1:5" x14ac:dyDescent="0.2">
      <c r="A2119" s="228" t="s">
        <v>2320</v>
      </c>
      <c r="B2119" s="298">
        <v>37.003050000000002</v>
      </c>
      <c r="E2119" s="280">
        <v>21</v>
      </c>
    </row>
    <row r="2120" spans="1:5" x14ac:dyDescent="0.2">
      <c r="A2120" s="228" t="s">
        <v>2321</v>
      </c>
      <c r="B2120" s="298">
        <v>37.994700000000002</v>
      </c>
      <c r="E2120" s="280">
        <v>21</v>
      </c>
    </row>
    <row r="2121" spans="1:5" x14ac:dyDescent="0.2">
      <c r="A2121" s="228" t="s">
        <v>2322</v>
      </c>
      <c r="B2121" s="298">
        <v>38.984790007000001</v>
      </c>
      <c r="E2121" s="280">
        <v>21</v>
      </c>
    </row>
    <row r="2122" spans="1:5" x14ac:dyDescent="0.2">
      <c r="A2122" s="228" t="s">
        <v>2323</v>
      </c>
      <c r="B2122" s="298">
        <v>39.977964012999998</v>
      </c>
      <c r="E2122" s="280">
        <v>21</v>
      </c>
    </row>
    <row r="2123" spans="1:5" x14ac:dyDescent="0.2">
      <c r="A2123" s="228" t="s">
        <v>2324</v>
      </c>
      <c r="B2123" s="298">
        <v>40.969251319999998</v>
      </c>
      <c r="E2123" s="280">
        <v>21</v>
      </c>
    </row>
    <row r="2124" spans="1:5" x14ac:dyDescent="0.2">
      <c r="A2124" s="228" t="s">
        <v>2325</v>
      </c>
      <c r="B2124" s="298">
        <v>41.965516772000001</v>
      </c>
      <c r="E2124" s="280">
        <v>21</v>
      </c>
    </row>
    <row r="2125" spans="1:5" x14ac:dyDescent="0.2">
      <c r="A2125" s="228" t="s">
        <v>2326</v>
      </c>
      <c r="B2125" s="298">
        <v>42.961150975999999</v>
      </c>
      <c r="E2125" s="280">
        <v>21</v>
      </c>
    </row>
    <row r="2126" spans="1:5" x14ac:dyDescent="0.2">
      <c r="A2126" s="228" t="s">
        <v>2327</v>
      </c>
      <c r="B2126" s="298">
        <v>43.959403043000002</v>
      </c>
      <c r="E2126" s="280">
        <v>21</v>
      </c>
    </row>
    <row r="2127" spans="1:5" x14ac:dyDescent="0.2">
      <c r="A2127" s="228" t="s">
        <v>2328</v>
      </c>
      <c r="B2127" s="298">
        <v>44.955910213000003</v>
      </c>
      <c r="E2127" s="280">
        <v>21</v>
      </c>
    </row>
    <row r="2128" spans="1:5" x14ac:dyDescent="0.2">
      <c r="A2128" s="228" t="s">
        <v>2329</v>
      </c>
      <c r="B2128" s="298">
        <v>45.955170221000003</v>
      </c>
      <c r="E2128" s="280">
        <v>21</v>
      </c>
    </row>
    <row r="2129" spans="1:5" x14ac:dyDescent="0.2">
      <c r="A2129" s="228" t="s">
        <v>2330</v>
      </c>
      <c r="B2129" s="298">
        <v>46.952407973</v>
      </c>
      <c r="E2129" s="280">
        <v>21</v>
      </c>
    </row>
    <row r="2130" spans="1:5" x14ac:dyDescent="0.2">
      <c r="A2130" s="228" t="s">
        <v>2331</v>
      </c>
      <c r="B2130" s="298">
        <v>47.952234918000002</v>
      </c>
      <c r="E2130" s="280">
        <v>21</v>
      </c>
    </row>
    <row r="2131" spans="1:5" x14ac:dyDescent="0.2">
      <c r="A2131" s="228" t="s">
        <v>2332</v>
      </c>
      <c r="B2131" s="298">
        <v>48.950023987999998</v>
      </c>
      <c r="E2131" s="280">
        <v>21</v>
      </c>
    </row>
    <row r="2132" spans="1:5" x14ac:dyDescent="0.2">
      <c r="A2132" s="228" t="s">
        <v>2333</v>
      </c>
      <c r="B2132" s="298">
        <v>49.952186920000003</v>
      </c>
      <c r="E2132" s="280">
        <v>21</v>
      </c>
    </row>
    <row r="2133" spans="1:5" x14ac:dyDescent="0.2">
      <c r="A2133" s="228" t="s">
        <v>2334</v>
      </c>
      <c r="B2133" s="298">
        <v>50.953602611000001</v>
      </c>
      <c r="E2133" s="280">
        <v>21</v>
      </c>
    </row>
    <row r="2134" spans="1:5" x14ac:dyDescent="0.2">
      <c r="A2134" s="228" t="s">
        <v>2335</v>
      </c>
      <c r="B2134" s="298">
        <v>51.956568761</v>
      </c>
      <c r="E2134" s="280">
        <v>21</v>
      </c>
    </row>
    <row r="2135" spans="1:5" x14ac:dyDescent="0.2">
      <c r="A2135" s="228" t="s">
        <v>2336</v>
      </c>
      <c r="B2135" s="298">
        <v>52.959240000000001</v>
      </c>
      <c r="E2135" s="280">
        <v>21</v>
      </c>
    </row>
    <row r="2136" spans="1:5" x14ac:dyDescent="0.2">
      <c r="A2136" s="228" t="s">
        <v>2337</v>
      </c>
      <c r="B2136" s="298">
        <v>53.963500000000003</v>
      </c>
      <c r="E2136" s="280">
        <v>21</v>
      </c>
    </row>
    <row r="2137" spans="1:5" x14ac:dyDescent="0.2">
      <c r="A2137" s="228" t="s">
        <v>2338</v>
      </c>
      <c r="B2137" s="298">
        <v>54.967469999999999</v>
      </c>
      <c r="E2137" s="280">
        <v>21</v>
      </c>
    </row>
    <row r="2138" spans="1:5" x14ac:dyDescent="0.2">
      <c r="A2138" s="287" t="s">
        <v>2339</v>
      </c>
      <c r="B2138" s="299">
        <v>78.959999999999994</v>
      </c>
      <c r="C2138" s="288">
        <v>0</v>
      </c>
      <c r="D2138" s="288">
        <v>0</v>
      </c>
      <c r="E2138" s="288">
        <v>34</v>
      </c>
    </row>
    <row r="2139" spans="1:5" x14ac:dyDescent="0.2">
      <c r="A2139" s="228" t="s">
        <v>2340</v>
      </c>
      <c r="B2139" s="298">
        <v>64.964659999999995</v>
      </c>
      <c r="E2139" s="280">
        <v>34</v>
      </c>
    </row>
    <row r="2140" spans="1:5" x14ac:dyDescent="0.2">
      <c r="A2140" s="228" t="s">
        <v>2341</v>
      </c>
      <c r="B2140" s="298">
        <v>65.955209999999994</v>
      </c>
      <c r="E2140" s="280">
        <v>34</v>
      </c>
    </row>
    <row r="2141" spans="1:5" x14ac:dyDescent="0.2">
      <c r="A2141" s="228" t="s">
        <v>2342</v>
      </c>
      <c r="B2141" s="298">
        <v>66.950090000000003</v>
      </c>
      <c r="E2141" s="280">
        <v>34</v>
      </c>
    </row>
    <row r="2142" spans="1:5" x14ac:dyDescent="0.2">
      <c r="A2142" s="228" t="s">
        <v>2343</v>
      </c>
      <c r="B2142" s="298">
        <v>67.941869999999994</v>
      </c>
      <c r="E2142" s="280">
        <v>34</v>
      </c>
    </row>
    <row r="2143" spans="1:5" x14ac:dyDescent="0.2">
      <c r="A2143" s="228" t="s">
        <v>2344</v>
      </c>
      <c r="B2143" s="298">
        <v>68.939561820999998</v>
      </c>
      <c r="E2143" s="280">
        <v>34</v>
      </c>
    </row>
    <row r="2144" spans="1:5" x14ac:dyDescent="0.2">
      <c r="A2144" s="228" t="s">
        <v>2345</v>
      </c>
      <c r="B2144" s="298">
        <v>69.933503999999999</v>
      </c>
      <c r="E2144" s="280">
        <v>34</v>
      </c>
    </row>
    <row r="2145" spans="1:5" x14ac:dyDescent="0.2">
      <c r="A2145" s="228" t="s">
        <v>2346</v>
      </c>
      <c r="B2145" s="298">
        <v>70.932266999999996</v>
      </c>
      <c r="E2145" s="280">
        <v>34</v>
      </c>
    </row>
    <row r="2146" spans="1:5" x14ac:dyDescent="0.2">
      <c r="A2146" s="228" t="s">
        <v>2347</v>
      </c>
      <c r="B2146" s="298">
        <v>71.927112465999997</v>
      </c>
      <c r="E2146" s="280">
        <v>34</v>
      </c>
    </row>
    <row r="2147" spans="1:5" x14ac:dyDescent="0.2">
      <c r="A2147" s="228" t="s">
        <v>2348</v>
      </c>
      <c r="B2147" s="298">
        <v>72.926766951999994</v>
      </c>
      <c r="E2147" s="280">
        <v>34</v>
      </c>
    </row>
    <row r="2148" spans="1:5" x14ac:dyDescent="0.2">
      <c r="A2148" s="228" t="s">
        <v>2349</v>
      </c>
      <c r="B2148" s="298">
        <v>73.922476712999995</v>
      </c>
      <c r="E2148" s="280">
        <v>34</v>
      </c>
    </row>
    <row r="2149" spans="1:5" x14ac:dyDescent="0.2">
      <c r="A2149" s="228" t="s">
        <v>2350</v>
      </c>
      <c r="B2149" s="298">
        <v>74.922523724000001</v>
      </c>
      <c r="E2149" s="280">
        <v>34</v>
      </c>
    </row>
    <row r="2150" spans="1:5" x14ac:dyDescent="0.2">
      <c r="A2150" s="228" t="s">
        <v>2351</v>
      </c>
      <c r="B2150" s="298">
        <v>75.919214260999993</v>
      </c>
      <c r="E2150" s="280">
        <v>34</v>
      </c>
    </row>
    <row r="2151" spans="1:5" x14ac:dyDescent="0.2">
      <c r="A2151" s="228" t="s">
        <v>2352</v>
      </c>
      <c r="B2151" s="298">
        <v>76.919914763999998</v>
      </c>
      <c r="E2151" s="280">
        <v>34</v>
      </c>
    </row>
    <row r="2152" spans="1:5" x14ac:dyDescent="0.2">
      <c r="A2152" s="228" t="s">
        <v>2353</v>
      </c>
      <c r="B2152" s="298">
        <v>77.917309676000002</v>
      </c>
      <c r="E2152" s="280">
        <v>34</v>
      </c>
    </row>
    <row r="2153" spans="1:5" x14ac:dyDescent="0.2">
      <c r="A2153" s="228" t="s">
        <v>2354</v>
      </c>
      <c r="B2153" s="298">
        <v>78.918499616999995</v>
      </c>
      <c r="E2153" s="280">
        <v>34</v>
      </c>
    </row>
    <row r="2154" spans="1:5" x14ac:dyDescent="0.2">
      <c r="A2154" s="228" t="s">
        <v>2355</v>
      </c>
      <c r="B2154" s="298">
        <v>79.916522064000006</v>
      </c>
      <c r="E2154" s="280">
        <v>34</v>
      </c>
    </row>
    <row r="2155" spans="1:5" x14ac:dyDescent="0.2">
      <c r="A2155" s="228" t="s">
        <v>2356</v>
      </c>
      <c r="B2155" s="298">
        <v>80.917993167000006</v>
      </c>
      <c r="E2155" s="280">
        <v>34</v>
      </c>
    </row>
    <row r="2156" spans="1:5" x14ac:dyDescent="0.2">
      <c r="A2156" s="228" t="s">
        <v>2357</v>
      </c>
      <c r="B2156" s="298">
        <v>81.916700282999997</v>
      </c>
      <c r="E2156" s="280">
        <v>34</v>
      </c>
    </row>
    <row r="2157" spans="1:5" x14ac:dyDescent="0.2">
      <c r="A2157" s="228" t="s">
        <v>2358</v>
      </c>
      <c r="B2157" s="298">
        <v>82.919119355000007</v>
      </c>
      <c r="E2157" s="280">
        <v>34</v>
      </c>
    </row>
    <row r="2158" spans="1:5" x14ac:dyDescent="0.2">
      <c r="A2158" s="228" t="s">
        <v>2359</v>
      </c>
      <c r="B2158" s="298">
        <v>83.918464890999999</v>
      </c>
      <c r="E2158" s="280">
        <v>34</v>
      </c>
    </row>
    <row r="2159" spans="1:5" x14ac:dyDescent="0.2">
      <c r="A2159" s="228" t="s">
        <v>2360</v>
      </c>
      <c r="B2159" s="298">
        <v>84.922247670999994</v>
      </c>
      <c r="E2159" s="280">
        <v>34</v>
      </c>
    </row>
    <row r="2160" spans="1:5" x14ac:dyDescent="0.2">
      <c r="A2160" s="228" t="s">
        <v>2361</v>
      </c>
      <c r="B2160" s="298">
        <v>85.924275933000004</v>
      </c>
      <c r="E2160" s="280">
        <v>34</v>
      </c>
    </row>
    <row r="2161" spans="1:5" x14ac:dyDescent="0.2">
      <c r="A2161" s="228" t="s">
        <v>2362</v>
      </c>
      <c r="B2161" s="298">
        <v>86.928525485999998</v>
      </c>
      <c r="E2161" s="280">
        <v>34</v>
      </c>
    </row>
    <row r="2162" spans="1:5" x14ac:dyDescent="0.2">
      <c r="A2162" s="228" t="s">
        <v>2363</v>
      </c>
      <c r="B2162" s="298">
        <v>87.931428783000001</v>
      </c>
      <c r="E2162" s="280">
        <v>34</v>
      </c>
    </row>
    <row r="2163" spans="1:5" x14ac:dyDescent="0.2">
      <c r="A2163" s="228" t="s">
        <v>2364</v>
      </c>
      <c r="B2163" s="298">
        <v>88.936019999999999</v>
      </c>
      <c r="E2163" s="280">
        <v>34</v>
      </c>
    </row>
    <row r="2164" spans="1:5" x14ac:dyDescent="0.2">
      <c r="A2164" s="228" t="s">
        <v>2365</v>
      </c>
      <c r="B2164" s="298">
        <v>89.939419999999998</v>
      </c>
      <c r="E2164" s="280">
        <v>34</v>
      </c>
    </row>
    <row r="2165" spans="1:5" x14ac:dyDescent="0.2">
      <c r="A2165" s="228" t="s">
        <v>2366</v>
      </c>
      <c r="B2165" s="298">
        <v>90.945369999999997</v>
      </c>
      <c r="E2165" s="280">
        <v>34</v>
      </c>
    </row>
    <row r="2166" spans="1:5" x14ac:dyDescent="0.2">
      <c r="A2166" s="287" t="s">
        <v>2367</v>
      </c>
      <c r="B2166" s="299">
        <v>28.0855</v>
      </c>
      <c r="C2166" s="288">
        <v>0</v>
      </c>
      <c r="D2166" s="288">
        <v>0</v>
      </c>
      <c r="E2166" s="288">
        <v>14</v>
      </c>
    </row>
    <row r="2167" spans="1:5" x14ac:dyDescent="0.2">
      <c r="A2167" s="228" t="s">
        <v>2368</v>
      </c>
      <c r="B2167" s="298">
        <v>22.03453</v>
      </c>
      <c r="E2167" s="280">
        <v>14</v>
      </c>
    </row>
    <row r="2168" spans="1:5" x14ac:dyDescent="0.2">
      <c r="A2168" s="228" t="s">
        <v>2369</v>
      </c>
      <c r="B2168" s="298">
        <v>23.02552</v>
      </c>
      <c r="E2168" s="280">
        <v>14</v>
      </c>
    </row>
    <row r="2169" spans="1:5" x14ac:dyDescent="0.2">
      <c r="A2169" s="228" t="s">
        <v>2370</v>
      </c>
      <c r="B2169" s="298">
        <v>24.011545688000002</v>
      </c>
      <c r="E2169" s="280">
        <v>14</v>
      </c>
    </row>
    <row r="2170" spans="1:5" x14ac:dyDescent="0.2">
      <c r="A2170" s="228" t="s">
        <v>2371</v>
      </c>
      <c r="B2170" s="298">
        <v>25.004106601</v>
      </c>
      <c r="E2170" s="280">
        <v>14</v>
      </c>
    </row>
    <row r="2171" spans="1:5" x14ac:dyDescent="0.2">
      <c r="A2171" s="228" t="s">
        <v>2372</v>
      </c>
      <c r="B2171" s="298">
        <v>25.992329896000001</v>
      </c>
      <c r="E2171" s="280">
        <v>14</v>
      </c>
    </row>
    <row r="2172" spans="1:5" x14ac:dyDescent="0.2">
      <c r="A2172" s="228" t="s">
        <v>2373</v>
      </c>
      <c r="B2172" s="298">
        <v>26.986704123999999</v>
      </c>
      <c r="E2172" s="280">
        <v>14</v>
      </c>
    </row>
    <row r="2173" spans="1:5" x14ac:dyDescent="0.2">
      <c r="A2173" s="228" t="s">
        <v>2374</v>
      </c>
      <c r="B2173" s="298">
        <v>27.976926494000001</v>
      </c>
      <c r="E2173" s="280">
        <v>14</v>
      </c>
    </row>
    <row r="2174" spans="1:5" x14ac:dyDescent="0.2">
      <c r="A2174" s="228" t="s">
        <v>2375</v>
      </c>
      <c r="B2174" s="298">
        <v>28.976494680000002</v>
      </c>
      <c r="E2174" s="280">
        <v>14</v>
      </c>
    </row>
    <row r="2175" spans="1:5" x14ac:dyDescent="0.2">
      <c r="A2175" s="228" t="s">
        <v>2376</v>
      </c>
      <c r="B2175" s="298">
        <v>29.973770178999999</v>
      </c>
      <c r="E2175" s="280">
        <v>14</v>
      </c>
    </row>
    <row r="2176" spans="1:5" x14ac:dyDescent="0.2">
      <c r="A2176" s="228" t="s">
        <v>2377</v>
      </c>
      <c r="B2176" s="298">
        <v>30.975363236</v>
      </c>
      <c r="E2176" s="280">
        <v>14</v>
      </c>
    </row>
    <row r="2177" spans="1:5" x14ac:dyDescent="0.2">
      <c r="A2177" s="228" t="s">
        <v>2378</v>
      </c>
      <c r="B2177" s="298">
        <v>31.97414809</v>
      </c>
      <c r="E2177" s="280">
        <v>14</v>
      </c>
    </row>
    <row r="2178" spans="1:5" x14ac:dyDescent="0.2">
      <c r="A2178" s="228" t="s">
        <v>2379</v>
      </c>
      <c r="B2178" s="298">
        <v>32.978000516000002</v>
      </c>
      <c r="E2178" s="280">
        <v>14</v>
      </c>
    </row>
    <row r="2179" spans="1:5" x14ac:dyDescent="0.2">
      <c r="A2179" s="228" t="s">
        <v>2380</v>
      </c>
      <c r="B2179" s="298">
        <v>33.978575741</v>
      </c>
      <c r="E2179" s="280">
        <v>14</v>
      </c>
    </row>
    <row r="2180" spans="1:5" x14ac:dyDescent="0.2">
      <c r="A2180" s="228" t="s">
        <v>2381</v>
      </c>
      <c r="B2180" s="298">
        <v>34.984584153999997</v>
      </c>
      <c r="E2180" s="280">
        <v>14</v>
      </c>
    </row>
    <row r="2181" spans="1:5" x14ac:dyDescent="0.2">
      <c r="A2181" s="228" t="s">
        <v>2382</v>
      </c>
      <c r="B2181" s="298">
        <v>35.986687363000001</v>
      </c>
      <c r="E2181" s="280">
        <v>14</v>
      </c>
    </row>
    <row r="2182" spans="1:5" x14ac:dyDescent="0.2">
      <c r="A2182" s="228" t="s">
        <v>2383</v>
      </c>
      <c r="B2182" s="298">
        <v>36.992995989999997</v>
      </c>
      <c r="E2182" s="280">
        <v>14</v>
      </c>
    </row>
    <row r="2183" spans="1:5" x14ac:dyDescent="0.2">
      <c r="A2183" s="228" t="s">
        <v>2384</v>
      </c>
      <c r="B2183" s="298">
        <v>37.995980000000003</v>
      </c>
      <c r="E2183" s="280">
        <v>14</v>
      </c>
    </row>
    <row r="2184" spans="1:5" x14ac:dyDescent="0.2">
      <c r="A2184" s="228" t="s">
        <v>2385</v>
      </c>
      <c r="B2184" s="298">
        <v>39.002299999999998</v>
      </c>
      <c r="E2184" s="280">
        <v>14</v>
      </c>
    </row>
    <row r="2185" spans="1:5" x14ac:dyDescent="0.2">
      <c r="A2185" s="228" t="s">
        <v>2386</v>
      </c>
      <c r="B2185" s="298">
        <v>40.005800000000001</v>
      </c>
      <c r="E2185" s="280">
        <v>14</v>
      </c>
    </row>
    <row r="2186" spans="1:5" x14ac:dyDescent="0.2">
      <c r="A2186" s="228" t="s">
        <v>2387</v>
      </c>
      <c r="B2186" s="298">
        <v>41.012700000000002</v>
      </c>
      <c r="E2186" s="280">
        <v>14</v>
      </c>
    </row>
    <row r="2187" spans="1:5" x14ac:dyDescent="0.2">
      <c r="A2187" s="287" t="s">
        <v>2388</v>
      </c>
      <c r="B2187" s="299">
        <v>150.4</v>
      </c>
      <c r="C2187" s="288">
        <v>0</v>
      </c>
      <c r="D2187" s="288">
        <v>0</v>
      </c>
      <c r="E2187" s="288">
        <v>62</v>
      </c>
    </row>
    <row r="2188" spans="1:5" x14ac:dyDescent="0.2">
      <c r="A2188" s="228" t="s">
        <v>2389</v>
      </c>
      <c r="B2188" s="298">
        <v>132.93872999999999</v>
      </c>
      <c r="E2188" s="280">
        <v>62</v>
      </c>
    </row>
    <row r="2189" spans="1:5" x14ac:dyDescent="0.2">
      <c r="A2189" s="228" t="s">
        <v>2390</v>
      </c>
      <c r="B2189" s="298">
        <v>133.93402</v>
      </c>
      <c r="E2189" s="280">
        <v>62</v>
      </c>
    </row>
    <row r="2190" spans="1:5" x14ac:dyDescent="0.2">
      <c r="A2190" s="228" t="s">
        <v>2391</v>
      </c>
      <c r="B2190" s="298">
        <v>134.93235000000001</v>
      </c>
      <c r="E2190" s="280">
        <v>62</v>
      </c>
    </row>
    <row r="2191" spans="1:5" x14ac:dyDescent="0.2">
      <c r="A2191" s="228" t="s">
        <v>2392</v>
      </c>
      <c r="B2191" s="298">
        <v>135.92830000000001</v>
      </c>
      <c r="E2191" s="280">
        <v>62</v>
      </c>
    </row>
    <row r="2192" spans="1:5" x14ac:dyDescent="0.2">
      <c r="A2192" s="228" t="s">
        <v>2393</v>
      </c>
      <c r="B2192" s="298">
        <v>136.92713000000001</v>
      </c>
      <c r="E2192" s="280">
        <v>62</v>
      </c>
    </row>
    <row r="2193" spans="1:5" x14ac:dyDescent="0.2">
      <c r="A2193" s="228" t="s">
        <v>2394</v>
      </c>
      <c r="B2193" s="298">
        <v>137.92354</v>
      </c>
      <c r="E2193" s="280">
        <v>62</v>
      </c>
    </row>
    <row r="2194" spans="1:5" x14ac:dyDescent="0.2">
      <c r="A2194" s="228" t="s">
        <v>2395</v>
      </c>
      <c r="B2194" s="298">
        <v>138.922640508</v>
      </c>
      <c r="E2194" s="280">
        <v>62</v>
      </c>
    </row>
    <row r="2195" spans="1:5" x14ac:dyDescent="0.2">
      <c r="A2195" s="228" t="s">
        <v>2396</v>
      </c>
      <c r="B2195" s="298">
        <v>139.91908900000001</v>
      </c>
      <c r="E2195" s="280">
        <v>62</v>
      </c>
    </row>
    <row r="2196" spans="1:5" x14ac:dyDescent="0.2">
      <c r="A2196" s="228" t="s">
        <v>2397</v>
      </c>
      <c r="B2196" s="298">
        <v>140.91847081700001</v>
      </c>
      <c r="E2196" s="280">
        <v>62</v>
      </c>
    </row>
    <row r="2197" spans="1:5" x14ac:dyDescent="0.2">
      <c r="A2197" s="228" t="s">
        <v>2398</v>
      </c>
      <c r="B2197" s="298">
        <v>141.91520376700001</v>
      </c>
      <c r="E2197" s="280">
        <v>62</v>
      </c>
    </row>
    <row r="2198" spans="1:5" x14ac:dyDescent="0.2">
      <c r="A2198" s="228" t="s">
        <v>2399</v>
      </c>
      <c r="B2198" s="298">
        <v>142.914624401</v>
      </c>
      <c r="E2198" s="280">
        <v>62</v>
      </c>
    </row>
    <row r="2199" spans="1:5" x14ac:dyDescent="0.2">
      <c r="A2199" s="228" t="s">
        <v>2400</v>
      </c>
      <c r="B2199" s="298">
        <v>143.91199582900001</v>
      </c>
      <c r="E2199" s="280">
        <v>62</v>
      </c>
    </row>
    <row r="2200" spans="1:5" x14ac:dyDescent="0.2">
      <c r="A2200" s="228" t="s">
        <v>2401</v>
      </c>
      <c r="B2200" s="298">
        <v>144.91340671699999</v>
      </c>
      <c r="E2200" s="280">
        <v>62</v>
      </c>
    </row>
    <row r="2201" spans="1:5" x14ac:dyDescent="0.2">
      <c r="A2201" s="228" t="s">
        <v>2402</v>
      </c>
      <c r="B2201" s="298">
        <v>145.91303751699999</v>
      </c>
      <c r="E2201" s="280">
        <v>62</v>
      </c>
    </row>
    <row r="2202" spans="1:5" x14ac:dyDescent="0.2">
      <c r="A2202" s="228" t="s">
        <v>2403</v>
      </c>
      <c r="B2202" s="298">
        <v>146.91489375099999</v>
      </c>
      <c r="E2202" s="280">
        <v>62</v>
      </c>
    </row>
    <row r="2203" spans="1:5" x14ac:dyDescent="0.2">
      <c r="A2203" s="228" t="s">
        <v>2404</v>
      </c>
      <c r="B2203" s="298">
        <v>147.914818381</v>
      </c>
      <c r="E2203" s="280">
        <v>62</v>
      </c>
    </row>
    <row r="2204" spans="1:5" x14ac:dyDescent="0.2">
      <c r="A2204" s="228" t="s">
        <v>2405</v>
      </c>
      <c r="B2204" s="298">
        <v>148.91717985099999</v>
      </c>
      <c r="E2204" s="280">
        <v>62</v>
      </c>
    </row>
    <row r="2205" spans="1:5" x14ac:dyDescent="0.2">
      <c r="A2205" s="228" t="s">
        <v>2406</v>
      </c>
      <c r="B2205" s="298">
        <v>149.917271817</v>
      </c>
      <c r="E2205" s="280">
        <v>62</v>
      </c>
    </row>
    <row r="2206" spans="1:5" x14ac:dyDescent="0.2">
      <c r="A2206" s="228" t="s">
        <v>2407</v>
      </c>
      <c r="B2206" s="298">
        <v>150.91992871400001</v>
      </c>
      <c r="E2206" s="280">
        <v>62</v>
      </c>
    </row>
    <row r="2207" spans="1:5" x14ac:dyDescent="0.2">
      <c r="A2207" s="228" t="s">
        <v>2408</v>
      </c>
      <c r="B2207" s="298">
        <v>151.91972875100001</v>
      </c>
      <c r="E2207" s="280">
        <v>62</v>
      </c>
    </row>
    <row r="2208" spans="1:5" x14ac:dyDescent="0.2">
      <c r="A2208" s="228" t="s">
        <v>2409</v>
      </c>
      <c r="B2208" s="298">
        <v>152.92209440900001</v>
      </c>
      <c r="E2208" s="280">
        <v>62</v>
      </c>
    </row>
    <row r="2209" spans="1:5" x14ac:dyDescent="0.2">
      <c r="A2209" s="228" t="s">
        <v>2410</v>
      </c>
      <c r="B2209" s="298">
        <v>153.922205784</v>
      </c>
      <c r="E2209" s="280">
        <v>62</v>
      </c>
    </row>
    <row r="2210" spans="1:5" x14ac:dyDescent="0.2">
      <c r="A2210" s="228" t="s">
        <v>2411</v>
      </c>
      <c r="B2210" s="298">
        <v>154.924636421</v>
      </c>
      <c r="E2210" s="280">
        <v>62</v>
      </c>
    </row>
    <row r="2211" spans="1:5" x14ac:dyDescent="0.2">
      <c r="A2211" s="228" t="s">
        <v>2412</v>
      </c>
      <c r="B2211" s="298">
        <v>155.92552644099999</v>
      </c>
      <c r="E2211" s="280">
        <v>62</v>
      </c>
    </row>
    <row r="2212" spans="1:5" x14ac:dyDescent="0.2">
      <c r="A2212" s="228" t="s">
        <v>2413</v>
      </c>
      <c r="B2212" s="298">
        <v>156.92831812099999</v>
      </c>
      <c r="E2212" s="280">
        <v>62</v>
      </c>
    </row>
    <row r="2213" spans="1:5" x14ac:dyDescent="0.2">
      <c r="A2213" s="228" t="s">
        <v>2414</v>
      </c>
      <c r="B2213" s="298">
        <v>157.92993000000001</v>
      </c>
      <c r="E2213" s="280">
        <v>62</v>
      </c>
    </row>
    <row r="2214" spans="1:5" x14ac:dyDescent="0.2">
      <c r="A2214" s="228" t="s">
        <v>2415</v>
      </c>
      <c r="B2214" s="298">
        <v>158.9332</v>
      </c>
      <c r="E2214" s="280">
        <v>62</v>
      </c>
    </row>
    <row r="2215" spans="1:5" x14ac:dyDescent="0.2">
      <c r="A2215" s="228" t="s">
        <v>2416</v>
      </c>
      <c r="B2215" s="298">
        <v>159.93528000000001</v>
      </c>
      <c r="E2215" s="280">
        <v>62</v>
      </c>
    </row>
    <row r="2216" spans="1:5" x14ac:dyDescent="0.2">
      <c r="A2216" s="228" t="s">
        <v>2417</v>
      </c>
      <c r="B2216" s="298">
        <v>160.93902</v>
      </c>
      <c r="E2216" s="280">
        <v>62</v>
      </c>
    </row>
    <row r="2217" spans="1:5" x14ac:dyDescent="0.2">
      <c r="A2217" s="287" t="s">
        <v>2418</v>
      </c>
      <c r="B2217" s="299">
        <v>118.69</v>
      </c>
      <c r="C2217" s="288">
        <v>0</v>
      </c>
      <c r="D2217" s="288">
        <v>0</v>
      </c>
      <c r="E2217" s="288">
        <v>50</v>
      </c>
    </row>
    <row r="2218" spans="1:5" x14ac:dyDescent="0.2">
      <c r="A2218" s="228" t="s">
        <v>2419</v>
      </c>
      <c r="B2218" s="298">
        <v>99.939385000000001</v>
      </c>
      <c r="E2218" s="280">
        <v>50</v>
      </c>
    </row>
    <row r="2219" spans="1:5" x14ac:dyDescent="0.2">
      <c r="A2219" s="228" t="s">
        <v>2420</v>
      </c>
      <c r="B2219" s="298">
        <v>100.93606</v>
      </c>
      <c r="E2219" s="280">
        <v>50</v>
      </c>
    </row>
    <row r="2220" spans="1:5" x14ac:dyDescent="0.2">
      <c r="A2220" s="228" t="s">
        <v>2421</v>
      </c>
      <c r="B2220" s="298">
        <v>101.93049000000001</v>
      </c>
      <c r="E2220" s="280">
        <v>50</v>
      </c>
    </row>
    <row r="2221" spans="1:5" x14ac:dyDescent="0.2">
      <c r="A2221" s="228" t="s">
        <v>2422</v>
      </c>
      <c r="B2221" s="298">
        <v>102.92813</v>
      </c>
      <c r="E2221" s="280">
        <v>50</v>
      </c>
    </row>
    <row r="2222" spans="1:5" x14ac:dyDescent="0.2">
      <c r="A2222" s="228" t="s">
        <v>2423</v>
      </c>
      <c r="B2222" s="298">
        <v>103.923185452</v>
      </c>
      <c r="E2222" s="280">
        <v>50</v>
      </c>
    </row>
    <row r="2223" spans="1:5" x14ac:dyDescent="0.2">
      <c r="A2223" s="228" t="s">
        <v>2424</v>
      </c>
      <c r="B2223" s="298">
        <v>104.92138121399999</v>
      </c>
      <c r="E2223" s="280">
        <v>50</v>
      </c>
    </row>
    <row r="2224" spans="1:5" x14ac:dyDescent="0.2">
      <c r="A2224" s="228" t="s">
        <v>2425</v>
      </c>
      <c r="B2224" s="298">
        <v>105.916877527</v>
      </c>
      <c r="E2224" s="280">
        <v>50</v>
      </c>
    </row>
    <row r="2225" spans="1:5" x14ac:dyDescent="0.2">
      <c r="A2225" s="228" t="s">
        <v>2426</v>
      </c>
      <c r="B2225" s="298">
        <v>106.915659722</v>
      </c>
      <c r="E2225" s="280">
        <v>50</v>
      </c>
    </row>
    <row r="2226" spans="1:5" x14ac:dyDescent="0.2">
      <c r="A2226" s="228" t="s">
        <v>2427</v>
      </c>
      <c r="B2226" s="298">
        <v>107.91195520700001</v>
      </c>
      <c r="E2226" s="280">
        <v>50</v>
      </c>
    </row>
    <row r="2227" spans="1:5" x14ac:dyDescent="0.2">
      <c r="A2227" s="228" t="s">
        <v>2428</v>
      </c>
      <c r="B2227" s="298">
        <v>108.91128788</v>
      </c>
      <c r="E2227" s="280">
        <v>50</v>
      </c>
    </row>
    <row r="2228" spans="1:5" x14ac:dyDescent="0.2">
      <c r="A2228" s="228" t="s">
        <v>2429</v>
      </c>
      <c r="B2228" s="298">
        <v>109.90785368900001</v>
      </c>
      <c r="E2228" s="280">
        <v>50</v>
      </c>
    </row>
    <row r="2229" spans="1:5" x14ac:dyDescent="0.2">
      <c r="A2229" s="228" t="s">
        <v>2430</v>
      </c>
      <c r="B2229" s="298">
        <v>110.90773640499999</v>
      </c>
      <c r="E2229" s="280">
        <v>50</v>
      </c>
    </row>
    <row r="2230" spans="1:5" x14ac:dyDescent="0.2">
      <c r="A2230" s="228" t="s">
        <v>2431</v>
      </c>
      <c r="B2230" s="298">
        <v>111.90482181199999</v>
      </c>
      <c r="E2230" s="280">
        <v>50</v>
      </c>
    </row>
    <row r="2231" spans="1:5" x14ac:dyDescent="0.2">
      <c r="A2231" s="228" t="s">
        <v>2432</v>
      </c>
      <c r="B2231" s="298">
        <v>112.90517441</v>
      </c>
      <c r="E2231" s="280">
        <v>50</v>
      </c>
    </row>
    <row r="2232" spans="1:5" x14ac:dyDescent="0.2">
      <c r="A2232" s="228" t="s">
        <v>2433</v>
      </c>
      <c r="B2232" s="298">
        <v>113.90278297</v>
      </c>
      <c r="E2232" s="280">
        <v>50</v>
      </c>
    </row>
    <row r="2233" spans="1:5" x14ac:dyDescent="0.2">
      <c r="A2233" s="228" t="s">
        <v>2434</v>
      </c>
      <c r="B2233" s="298">
        <v>114.90334728800001</v>
      </c>
      <c r="E2233" s="280">
        <v>50</v>
      </c>
    </row>
    <row r="2234" spans="1:5" x14ac:dyDescent="0.2">
      <c r="A2234" s="228" t="s">
        <v>2435</v>
      </c>
      <c r="B2234" s="298">
        <v>115.90174546599999</v>
      </c>
      <c r="E2234" s="280">
        <v>50</v>
      </c>
    </row>
    <row r="2235" spans="1:5" x14ac:dyDescent="0.2">
      <c r="A2235" s="228" t="s">
        <v>2436</v>
      </c>
      <c r="B2235" s="298">
        <v>116.902955142</v>
      </c>
      <c r="E2235" s="280">
        <v>50</v>
      </c>
    </row>
    <row r="2236" spans="1:5" x14ac:dyDescent="0.2">
      <c r="A2236" s="228" t="s">
        <v>2437</v>
      </c>
      <c r="B2236" s="298">
        <v>117.90160786</v>
      </c>
      <c r="E2236" s="280">
        <v>50</v>
      </c>
    </row>
    <row r="2237" spans="1:5" x14ac:dyDescent="0.2">
      <c r="A2237" s="228" t="s">
        <v>2438</v>
      </c>
      <c r="B2237" s="298">
        <v>118.903310589</v>
      </c>
      <c r="E2237" s="280">
        <v>50</v>
      </c>
    </row>
    <row r="2238" spans="1:5" x14ac:dyDescent="0.2">
      <c r="A2238" s="228" t="s">
        <v>2439</v>
      </c>
      <c r="B2238" s="298">
        <v>119.90219853799999</v>
      </c>
      <c r="E2238" s="280">
        <v>50</v>
      </c>
    </row>
    <row r="2239" spans="1:5" x14ac:dyDescent="0.2">
      <c r="A2239" s="228" t="s">
        <v>2440</v>
      </c>
      <c r="B2239" s="298">
        <v>120.904238849</v>
      </c>
      <c r="E2239" s="280">
        <v>50</v>
      </c>
    </row>
    <row r="2240" spans="1:5" x14ac:dyDescent="0.2">
      <c r="A2240" s="228" t="s">
        <v>2441</v>
      </c>
      <c r="B2240" s="298">
        <v>121.903441148</v>
      </c>
      <c r="E2240" s="280">
        <v>50</v>
      </c>
    </row>
    <row r="2241" spans="1:5" x14ac:dyDescent="0.2">
      <c r="A2241" s="228" t="s">
        <v>2442</v>
      </c>
      <c r="B2241" s="298">
        <v>122.905722786</v>
      </c>
      <c r="E2241" s="280">
        <v>50</v>
      </c>
    </row>
    <row r="2242" spans="1:5" x14ac:dyDescent="0.2">
      <c r="A2242" s="228" t="s">
        <v>2443</v>
      </c>
      <c r="B2242" s="298">
        <v>123.905274503</v>
      </c>
      <c r="E2242" s="280">
        <v>50</v>
      </c>
    </row>
    <row r="2243" spans="1:5" x14ac:dyDescent="0.2">
      <c r="A2243" s="228" t="s">
        <v>2444</v>
      </c>
      <c r="B2243" s="298">
        <v>124.90778479700001</v>
      </c>
      <c r="E2243" s="280">
        <v>50</v>
      </c>
    </row>
    <row r="2244" spans="1:5" x14ac:dyDescent="0.2">
      <c r="A2244" s="228" t="s">
        <v>2445</v>
      </c>
      <c r="B2244" s="298">
        <v>125.907653826</v>
      </c>
      <c r="E2244" s="280">
        <v>50</v>
      </c>
    </row>
    <row r="2245" spans="1:5" x14ac:dyDescent="0.2">
      <c r="A2245" s="228" t="s">
        <v>2446</v>
      </c>
      <c r="B2245" s="298">
        <v>126.910350362</v>
      </c>
      <c r="E2245" s="280">
        <v>50</v>
      </c>
    </row>
    <row r="2246" spans="1:5" x14ac:dyDescent="0.2">
      <c r="A2246" s="228" t="s">
        <v>2447</v>
      </c>
      <c r="B2246" s="298">
        <v>127.910535082</v>
      </c>
      <c r="E2246" s="280">
        <v>50</v>
      </c>
    </row>
    <row r="2247" spans="1:5" x14ac:dyDescent="0.2">
      <c r="A2247" s="228" t="s">
        <v>2448</v>
      </c>
      <c r="B2247" s="298">
        <v>128.91344023400001</v>
      </c>
      <c r="E2247" s="280">
        <v>50</v>
      </c>
    </row>
    <row r="2248" spans="1:5" x14ac:dyDescent="0.2">
      <c r="A2248" s="228" t="s">
        <v>2449</v>
      </c>
      <c r="B2248" s="298">
        <v>129.91385622499999</v>
      </c>
      <c r="E2248" s="280">
        <v>50</v>
      </c>
    </row>
    <row r="2249" spans="1:5" x14ac:dyDescent="0.2">
      <c r="A2249" s="228" t="s">
        <v>2450</v>
      </c>
      <c r="B2249" s="298">
        <v>130.91692575600001</v>
      </c>
      <c r="E2249" s="280">
        <v>50</v>
      </c>
    </row>
    <row r="2250" spans="1:5" x14ac:dyDescent="0.2">
      <c r="A2250" s="228" t="s">
        <v>2451</v>
      </c>
      <c r="B2250" s="298">
        <v>131.91774459800001</v>
      </c>
      <c r="E2250" s="280">
        <v>50</v>
      </c>
    </row>
    <row r="2251" spans="1:5" x14ac:dyDescent="0.2">
      <c r="A2251" s="228" t="s">
        <v>2452</v>
      </c>
      <c r="B2251" s="298">
        <v>132.92364260700001</v>
      </c>
      <c r="E2251" s="280">
        <v>50</v>
      </c>
    </row>
    <row r="2252" spans="1:5" x14ac:dyDescent="0.2">
      <c r="A2252" s="228" t="s">
        <v>2453</v>
      </c>
      <c r="B2252" s="298">
        <v>133.92783</v>
      </c>
      <c r="E2252" s="280">
        <v>50</v>
      </c>
    </row>
    <row r="2253" spans="1:5" x14ac:dyDescent="0.2">
      <c r="A2253" s="287" t="s">
        <v>2454</v>
      </c>
      <c r="B2253" s="299">
        <v>87.62</v>
      </c>
      <c r="C2253" s="288">
        <v>0</v>
      </c>
      <c r="D2253" s="288">
        <v>0</v>
      </c>
      <c r="E2253" s="288">
        <v>38</v>
      </c>
    </row>
    <row r="2254" spans="1:5" x14ac:dyDescent="0.2">
      <c r="A2254" s="228" t="s">
        <v>2455</v>
      </c>
      <c r="B2254" s="298">
        <v>99.935351065999996</v>
      </c>
      <c r="E2254" s="280">
        <v>38</v>
      </c>
    </row>
    <row r="2255" spans="1:5" x14ac:dyDescent="0.2">
      <c r="A2255" s="228" t="s">
        <v>2456</v>
      </c>
      <c r="B2255" s="298">
        <v>100.940516772</v>
      </c>
      <c r="E2255" s="280">
        <v>38</v>
      </c>
    </row>
    <row r="2256" spans="1:5" x14ac:dyDescent="0.2">
      <c r="A2256" s="228" t="s">
        <v>2457</v>
      </c>
      <c r="B2256" s="298">
        <v>101.94301813200001</v>
      </c>
      <c r="E2256" s="280">
        <v>38</v>
      </c>
    </row>
    <row r="2257" spans="1:5" x14ac:dyDescent="0.2">
      <c r="A2257" s="228" t="s">
        <v>2458</v>
      </c>
      <c r="B2257" s="298">
        <v>74.949920000000006</v>
      </c>
      <c r="E2257" s="280">
        <v>38</v>
      </c>
    </row>
    <row r="2258" spans="1:5" x14ac:dyDescent="0.2">
      <c r="A2258" s="228" t="s">
        <v>2459</v>
      </c>
      <c r="B2258" s="298">
        <v>75.941609999999997</v>
      </c>
      <c r="E2258" s="280">
        <v>38</v>
      </c>
    </row>
    <row r="2259" spans="1:5" x14ac:dyDescent="0.2">
      <c r="A2259" s="228" t="s">
        <v>2460</v>
      </c>
      <c r="B2259" s="298">
        <v>76.937763102000005</v>
      </c>
      <c r="E2259" s="280">
        <v>38</v>
      </c>
    </row>
    <row r="2260" spans="1:5" x14ac:dyDescent="0.2">
      <c r="A2260" s="228" t="s">
        <v>2461</v>
      </c>
      <c r="B2260" s="298">
        <v>77.932182451000003</v>
      </c>
      <c r="E2260" s="280">
        <v>38</v>
      </c>
    </row>
    <row r="2261" spans="1:5" x14ac:dyDescent="0.2">
      <c r="A2261" s="228" t="s">
        <v>2462</v>
      </c>
      <c r="B2261" s="298">
        <v>78.929710163999999</v>
      </c>
      <c r="E2261" s="280">
        <v>38</v>
      </c>
    </row>
    <row r="2262" spans="1:5" x14ac:dyDescent="0.2">
      <c r="A2262" s="228" t="s">
        <v>2463</v>
      </c>
      <c r="B2262" s="298">
        <v>79.924527677</v>
      </c>
      <c r="E2262" s="280">
        <v>38</v>
      </c>
    </row>
    <row r="2263" spans="1:5" x14ac:dyDescent="0.2">
      <c r="A2263" s="228" t="s">
        <v>2464</v>
      </c>
      <c r="B2263" s="298">
        <v>80.923216183999997</v>
      </c>
      <c r="E2263" s="280">
        <v>38</v>
      </c>
    </row>
    <row r="2264" spans="1:5" x14ac:dyDescent="0.2">
      <c r="A2264" s="228" t="s">
        <v>2465</v>
      </c>
      <c r="B2264" s="298">
        <v>81.918403613999999</v>
      </c>
      <c r="E2264" s="280">
        <v>38</v>
      </c>
    </row>
    <row r="2265" spans="1:5" x14ac:dyDescent="0.2">
      <c r="A2265" s="228" t="s">
        <v>2466</v>
      </c>
      <c r="B2265" s="298">
        <v>82.917556839</v>
      </c>
      <c r="E2265" s="280">
        <v>38</v>
      </c>
    </row>
    <row r="2266" spans="1:5" x14ac:dyDescent="0.2">
      <c r="A2266" s="228" t="s">
        <v>2467</v>
      </c>
      <c r="B2266" s="298">
        <v>83.913426470000005</v>
      </c>
      <c r="C2266" s="280">
        <v>0</v>
      </c>
      <c r="E2266" s="280">
        <v>38</v>
      </c>
    </row>
    <row r="2267" spans="1:5" x14ac:dyDescent="0.2">
      <c r="A2267" s="228" t="s">
        <v>2468</v>
      </c>
      <c r="B2267" s="298">
        <v>84.912935562000001</v>
      </c>
      <c r="C2267" s="280">
        <v>64.84</v>
      </c>
      <c r="D2267" s="280" t="s">
        <v>192</v>
      </c>
      <c r="E2267" s="280">
        <v>38</v>
      </c>
    </row>
    <row r="2268" spans="1:5" x14ac:dyDescent="0.2">
      <c r="A2268" s="228" t="s">
        <v>2469</v>
      </c>
      <c r="B2268" s="298">
        <v>85.909264684999997</v>
      </c>
      <c r="C2268" s="280">
        <v>0</v>
      </c>
      <c r="E2268" s="280">
        <v>38</v>
      </c>
    </row>
    <row r="2269" spans="1:5" x14ac:dyDescent="0.2">
      <c r="A2269" s="228" t="s">
        <v>2470</v>
      </c>
      <c r="B2269" s="298">
        <v>86.908881644999994</v>
      </c>
      <c r="C2269" s="280">
        <v>2.8</v>
      </c>
      <c r="D2269" s="280" t="s">
        <v>199</v>
      </c>
      <c r="E2269" s="280">
        <v>38</v>
      </c>
    </row>
    <row r="2270" spans="1:5" x14ac:dyDescent="0.2">
      <c r="A2270" s="228" t="s">
        <v>2471</v>
      </c>
      <c r="B2270" s="298">
        <v>87.905616662</v>
      </c>
      <c r="C2270" s="280">
        <v>0</v>
      </c>
      <c r="E2270" s="280">
        <v>38</v>
      </c>
    </row>
    <row r="2271" spans="1:5" x14ac:dyDescent="0.2">
      <c r="A2271" s="228" t="s">
        <v>2472</v>
      </c>
      <c r="B2271" s="298">
        <v>88.907455229000007</v>
      </c>
      <c r="C2271" s="280">
        <v>50.52</v>
      </c>
      <c r="D2271" s="280" t="s">
        <v>192</v>
      </c>
      <c r="E2271" s="280">
        <v>38</v>
      </c>
    </row>
    <row r="2272" spans="1:5" x14ac:dyDescent="0.2">
      <c r="A2272" s="228" t="s">
        <v>2473</v>
      </c>
      <c r="B2272" s="298">
        <v>89.907738385000002</v>
      </c>
      <c r="C2272" s="280">
        <v>29.1</v>
      </c>
      <c r="D2272" s="280" t="s">
        <v>249</v>
      </c>
      <c r="E2272" s="280">
        <v>38</v>
      </c>
    </row>
    <row r="2273" spans="1:5" x14ac:dyDescent="0.2">
      <c r="A2273" s="228" t="s">
        <v>2474</v>
      </c>
      <c r="B2273" s="298">
        <v>90.910198889</v>
      </c>
      <c r="C2273" s="280">
        <v>9.5</v>
      </c>
      <c r="D2273" s="280" t="s">
        <v>199</v>
      </c>
      <c r="E2273" s="280">
        <v>38</v>
      </c>
    </row>
    <row r="2274" spans="1:5" x14ac:dyDescent="0.2">
      <c r="A2274" s="228" t="s">
        <v>2475</v>
      </c>
      <c r="B2274" s="298">
        <v>91.910982019000002</v>
      </c>
      <c r="E2274" s="280">
        <v>38</v>
      </c>
    </row>
    <row r="2275" spans="1:5" x14ac:dyDescent="0.2">
      <c r="A2275" s="228" t="s">
        <v>2476</v>
      </c>
      <c r="B2275" s="298">
        <v>92.913942593000002</v>
      </c>
      <c r="E2275" s="280">
        <v>38</v>
      </c>
    </row>
    <row r="2276" spans="1:5" x14ac:dyDescent="0.2">
      <c r="A2276" s="228" t="s">
        <v>2477</v>
      </c>
      <c r="B2276" s="298">
        <v>93.915364976000006</v>
      </c>
      <c r="E2276" s="280">
        <v>38</v>
      </c>
    </row>
    <row r="2277" spans="1:5" x14ac:dyDescent="0.2">
      <c r="A2277" s="228" t="s">
        <v>2478</v>
      </c>
      <c r="B2277" s="298">
        <v>94.919313607999996</v>
      </c>
      <c r="E2277" s="280">
        <v>38</v>
      </c>
    </row>
    <row r="2278" spans="1:5" x14ac:dyDescent="0.2">
      <c r="A2278" s="228" t="s">
        <v>2479</v>
      </c>
      <c r="B2278" s="298">
        <v>95.921649118000005</v>
      </c>
      <c r="E2278" s="280">
        <v>38</v>
      </c>
    </row>
    <row r="2279" spans="1:5" x14ac:dyDescent="0.2">
      <c r="A2279" s="228" t="s">
        <v>2480</v>
      </c>
      <c r="B2279" s="298">
        <v>96.926145243999997</v>
      </c>
      <c r="E2279" s="280">
        <v>38</v>
      </c>
    </row>
    <row r="2280" spans="1:5" x14ac:dyDescent="0.2">
      <c r="A2280" s="228" t="s">
        <v>2481</v>
      </c>
      <c r="B2280" s="298">
        <v>97.928491378999993</v>
      </c>
      <c r="E2280" s="280">
        <v>38</v>
      </c>
    </row>
    <row r="2281" spans="1:5" x14ac:dyDescent="0.2">
      <c r="A2281" s="228" t="s">
        <v>2482</v>
      </c>
      <c r="B2281" s="298">
        <v>98.933254167000001</v>
      </c>
      <c r="E2281" s="280">
        <v>38</v>
      </c>
    </row>
    <row r="2282" spans="1:5" x14ac:dyDescent="0.2">
      <c r="A2282" s="287" t="s">
        <v>2483</v>
      </c>
      <c r="B2282" s="299">
        <v>180.9479</v>
      </c>
      <c r="C2282" s="288">
        <v>0</v>
      </c>
      <c r="D2282" s="288">
        <v>0</v>
      </c>
      <c r="E2282" s="288">
        <v>73</v>
      </c>
    </row>
    <row r="2283" spans="1:5" x14ac:dyDescent="0.2">
      <c r="A2283" s="228" t="s">
        <v>2484</v>
      </c>
      <c r="B2283" s="298">
        <v>155.971689</v>
      </c>
      <c r="E2283" s="280">
        <v>73</v>
      </c>
    </row>
    <row r="2284" spans="1:5" x14ac:dyDescent="0.2">
      <c r="A2284" s="228" t="s">
        <v>2485</v>
      </c>
      <c r="B2284" s="298">
        <v>156.96814499999999</v>
      </c>
      <c r="E2284" s="280">
        <v>73</v>
      </c>
    </row>
    <row r="2285" spans="1:5" x14ac:dyDescent="0.2">
      <c r="A2285" s="228" t="s">
        <v>2486</v>
      </c>
      <c r="B2285" s="298">
        <v>157.96636799999999</v>
      </c>
      <c r="E2285" s="280">
        <v>73</v>
      </c>
    </row>
    <row r="2286" spans="1:5" x14ac:dyDescent="0.2">
      <c r="A2286" s="228" t="s">
        <v>2487</v>
      </c>
      <c r="B2286" s="298">
        <v>158.96294399999999</v>
      </c>
      <c r="E2286" s="280">
        <v>73</v>
      </c>
    </row>
    <row r="2287" spans="1:5" x14ac:dyDescent="0.2">
      <c r="A2287" s="228" t="s">
        <v>2488</v>
      </c>
      <c r="B2287" s="298">
        <v>159.961465</v>
      </c>
      <c r="E2287" s="280">
        <v>73</v>
      </c>
    </row>
    <row r="2288" spans="1:5" x14ac:dyDescent="0.2">
      <c r="A2288" s="228" t="s">
        <v>2489</v>
      </c>
      <c r="B2288" s="298">
        <v>160.95837394500001</v>
      </c>
      <c r="E2288" s="280">
        <v>73</v>
      </c>
    </row>
    <row r="2289" spans="1:5" x14ac:dyDescent="0.2">
      <c r="A2289" s="228" t="s">
        <v>2490</v>
      </c>
      <c r="B2289" s="298">
        <v>161.95714899999999</v>
      </c>
      <c r="E2289" s="280">
        <v>73</v>
      </c>
    </row>
    <row r="2290" spans="1:5" x14ac:dyDescent="0.2">
      <c r="A2290" s="228" t="s">
        <v>2491</v>
      </c>
      <c r="B2290" s="298">
        <v>162.954364962</v>
      </c>
      <c r="E2290" s="280">
        <v>73</v>
      </c>
    </row>
    <row r="2291" spans="1:5" x14ac:dyDescent="0.2">
      <c r="A2291" s="228" t="s">
        <v>2492</v>
      </c>
      <c r="B2291" s="298">
        <v>163.95357000000001</v>
      </c>
      <c r="E2291" s="280">
        <v>73</v>
      </c>
    </row>
    <row r="2292" spans="1:5" x14ac:dyDescent="0.2">
      <c r="A2292" s="228" t="s">
        <v>2493</v>
      </c>
      <c r="B2292" s="298">
        <v>164.950817</v>
      </c>
      <c r="E2292" s="280">
        <v>73</v>
      </c>
    </row>
    <row r="2293" spans="1:5" x14ac:dyDescent="0.2">
      <c r="A2293" s="228" t="s">
        <v>2494</v>
      </c>
      <c r="B2293" s="298">
        <v>165.95047</v>
      </c>
      <c r="E2293" s="280">
        <v>73</v>
      </c>
    </row>
    <row r="2294" spans="1:5" x14ac:dyDescent="0.2">
      <c r="A2294" s="228" t="s">
        <v>2495</v>
      </c>
      <c r="B2294" s="298">
        <v>166.947971</v>
      </c>
      <c r="E2294" s="280">
        <v>73</v>
      </c>
    </row>
    <row r="2295" spans="1:5" x14ac:dyDescent="0.2">
      <c r="A2295" s="228" t="s">
        <v>2496</v>
      </c>
      <c r="B2295" s="298">
        <v>167.94779</v>
      </c>
      <c r="E2295" s="280">
        <v>73</v>
      </c>
    </row>
    <row r="2296" spans="1:5" x14ac:dyDescent="0.2">
      <c r="A2296" s="228" t="s">
        <v>2497</v>
      </c>
      <c r="B2296" s="298">
        <v>168.94592</v>
      </c>
      <c r="E2296" s="280">
        <v>73</v>
      </c>
    </row>
    <row r="2297" spans="1:5" x14ac:dyDescent="0.2">
      <c r="A2297" s="228" t="s">
        <v>2498</v>
      </c>
      <c r="B2297" s="298">
        <v>169.94609</v>
      </c>
      <c r="E2297" s="280">
        <v>73</v>
      </c>
    </row>
    <row r="2298" spans="1:5" x14ac:dyDescent="0.2">
      <c r="A2298" s="228" t="s">
        <v>2499</v>
      </c>
      <c r="B2298" s="298">
        <v>170.94445999999999</v>
      </c>
      <c r="E2298" s="280">
        <v>73</v>
      </c>
    </row>
    <row r="2299" spans="1:5" x14ac:dyDescent="0.2">
      <c r="A2299" s="228" t="s">
        <v>2500</v>
      </c>
      <c r="B2299" s="298">
        <v>171.94474007299999</v>
      </c>
      <c r="E2299" s="280">
        <v>73</v>
      </c>
    </row>
    <row r="2300" spans="1:5" x14ac:dyDescent="0.2">
      <c r="A2300" s="228" t="s">
        <v>2501</v>
      </c>
      <c r="B2300" s="298">
        <v>172.943645</v>
      </c>
      <c r="E2300" s="280">
        <v>73</v>
      </c>
    </row>
    <row r="2301" spans="1:5" x14ac:dyDescent="0.2">
      <c r="A2301" s="228" t="s">
        <v>2502</v>
      </c>
      <c r="B2301" s="298">
        <v>173.94416930200001</v>
      </c>
      <c r="E2301" s="280">
        <v>73</v>
      </c>
    </row>
    <row r="2302" spans="1:5" x14ac:dyDescent="0.2">
      <c r="A2302" s="228" t="s">
        <v>2503</v>
      </c>
      <c r="B2302" s="298">
        <v>174.94364999999999</v>
      </c>
      <c r="E2302" s="280">
        <v>73</v>
      </c>
    </row>
    <row r="2303" spans="1:5" x14ac:dyDescent="0.2">
      <c r="A2303" s="228" t="s">
        <v>2504</v>
      </c>
      <c r="B2303" s="298">
        <v>175.94474205200001</v>
      </c>
      <c r="E2303" s="280">
        <v>73</v>
      </c>
    </row>
    <row r="2304" spans="1:5" x14ac:dyDescent="0.2">
      <c r="A2304" s="228" t="s">
        <v>2505</v>
      </c>
      <c r="B2304" s="298">
        <v>176.94447212</v>
      </c>
      <c r="E2304" s="280">
        <v>73</v>
      </c>
    </row>
    <row r="2305" spans="1:5" x14ac:dyDescent="0.2">
      <c r="A2305" s="228" t="s">
        <v>2506</v>
      </c>
      <c r="B2305" s="298">
        <v>177.945750713</v>
      </c>
      <c r="E2305" s="280">
        <v>73</v>
      </c>
    </row>
    <row r="2306" spans="1:5" x14ac:dyDescent="0.2">
      <c r="A2306" s="228" t="s">
        <v>2507</v>
      </c>
      <c r="B2306" s="298">
        <v>178.945933986</v>
      </c>
      <c r="E2306" s="280">
        <v>73</v>
      </c>
    </row>
    <row r="2307" spans="1:5" x14ac:dyDescent="0.2">
      <c r="A2307" s="228" t="s">
        <v>2508</v>
      </c>
      <c r="B2307" s="298">
        <v>179.947465526</v>
      </c>
      <c r="E2307" s="280">
        <v>73</v>
      </c>
    </row>
    <row r="2308" spans="1:5" x14ac:dyDescent="0.2">
      <c r="A2308" s="228" t="s">
        <v>2509</v>
      </c>
      <c r="B2308" s="298">
        <v>180.94799621799999</v>
      </c>
      <c r="E2308" s="280">
        <v>73</v>
      </c>
    </row>
    <row r="2309" spans="1:5" x14ac:dyDescent="0.2">
      <c r="A2309" s="228" t="s">
        <v>2510</v>
      </c>
      <c r="B2309" s="298">
        <v>181.95015228700001</v>
      </c>
      <c r="E2309" s="280">
        <v>73</v>
      </c>
    </row>
    <row r="2310" spans="1:5" x14ac:dyDescent="0.2">
      <c r="A2310" s="228" t="s">
        <v>2511</v>
      </c>
      <c r="B2310" s="298">
        <v>182.95137306000001</v>
      </c>
      <c r="E2310" s="280">
        <v>73</v>
      </c>
    </row>
    <row r="2311" spans="1:5" x14ac:dyDescent="0.2">
      <c r="A2311" s="228" t="s">
        <v>2512</v>
      </c>
      <c r="B2311" s="298">
        <v>183.954009106</v>
      </c>
      <c r="E2311" s="280">
        <v>73</v>
      </c>
    </row>
    <row r="2312" spans="1:5" x14ac:dyDescent="0.2">
      <c r="A2312" s="228" t="s">
        <v>2513</v>
      </c>
      <c r="B2312" s="298">
        <v>184.95555885900001</v>
      </c>
      <c r="E2312" s="280">
        <v>73</v>
      </c>
    </row>
    <row r="2313" spans="1:5" x14ac:dyDescent="0.2">
      <c r="A2313" s="228" t="s">
        <v>2514</v>
      </c>
      <c r="B2313" s="298">
        <v>185.95854980600001</v>
      </c>
      <c r="E2313" s="280">
        <v>73</v>
      </c>
    </row>
    <row r="2314" spans="1:5" x14ac:dyDescent="0.2">
      <c r="A2314" s="228" t="s">
        <v>2515</v>
      </c>
      <c r="B2314" s="298">
        <v>186.96041</v>
      </c>
      <c r="E2314" s="280">
        <v>73</v>
      </c>
    </row>
    <row r="2315" spans="1:5" x14ac:dyDescent="0.2">
      <c r="A2315" s="287" t="s">
        <v>2516</v>
      </c>
      <c r="B2315" s="299">
        <v>158.9254</v>
      </c>
      <c r="C2315" s="288">
        <v>0</v>
      </c>
      <c r="D2315" s="288">
        <v>0</v>
      </c>
      <c r="E2315" s="288">
        <v>65</v>
      </c>
    </row>
    <row r="2316" spans="1:5" x14ac:dyDescent="0.2">
      <c r="A2316" s="228" t="s">
        <v>2517</v>
      </c>
      <c r="B2316" s="298">
        <v>138.94802999999999</v>
      </c>
      <c r="E2316" s="280">
        <v>65</v>
      </c>
    </row>
    <row r="2317" spans="1:5" x14ac:dyDescent="0.2">
      <c r="A2317" s="228" t="s">
        <v>2518</v>
      </c>
      <c r="B2317" s="298">
        <v>139.94556299999999</v>
      </c>
      <c r="E2317" s="280">
        <v>65</v>
      </c>
    </row>
    <row r="2318" spans="1:5" x14ac:dyDescent="0.2">
      <c r="A2318" s="228" t="s">
        <v>2519</v>
      </c>
      <c r="B2318" s="298">
        <v>140.94116</v>
      </c>
      <c r="E2318" s="280">
        <v>65</v>
      </c>
    </row>
    <row r="2319" spans="1:5" x14ac:dyDescent="0.2">
      <c r="A2319" s="228" t="s">
        <v>2520</v>
      </c>
      <c r="B2319" s="298">
        <v>141.93873600000001</v>
      </c>
      <c r="E2319" s="280">
        <v>65</v>
      </c>
    </row>
    <row r="2320" spans="1:5" x14ac:dyDescent="0.2">
      <c r="A2320" s="228" t="s">
        <v>2521</v>
      </c>
      <c r="B2320" s="298">
        <v>142.93456</v>
      </c>
      <c r="E2320" s="280">
        <v>65</v>
      </c>
    </row>
    <row r="2321" spans="1:5" x14ac:dyDescent="0.2">
      <c r="A2321" s="228" t="s">
        <v>2522</v>
      </c>
      <c r="B2321" s="298">
        <v>143.93237999999999</v>
      </c>
      <c r="E2321" s="280">
        <v>65</v>
      </c>
    </row>
    <row r="2322" spans="1:5" x14ac:dyDescent="0.2">
      <c r="A2322" s="228" t="s">
        <v>2523</v>
      </c>
      <c r="B2322" s="298">
        <v>144.92867535900001</v>
      </c>
      <c r="E2322" s="280">
        <v>65</v>
      </c>
    </row>
    <row r="2323" spans="1:5" x14ac:dyDescent="0.2">
      <c r="A2323" s="228" t="s">
        <v>2524</v>
      </c>
      <c r="B2323" s="298">
        <v>145.926975314</v>
      </c>
      <c r="E2323" s="280">
        <v>65</v>
      </c>
    </row>
    <row r="2324" spans="1:5" x14ac:dyDescent="0.2">
      <c r="A2324" s="228" t="s">
        <v>2525</v>
      </c>
      <c r="B2324" s="298">
        <v>146.924041074</v>
      </c>
      <c r="E2324" s="280">
        <v>65</v>
      </c>
    </row>
    <row r="2325" spans="1:5" x14ac:dyDescent="0.2">
      <c r="A2325" s="228" t="s">
        <v>2526</v>
      </c>
      <c r="B2325" s="298">
        <v>147.92422263500001</v>
      </c>
      <c r="E2325" s="280">
        <v>65</v>
      </c>
    </row>
    <row r="2326" spans="1:5" x14ac:dyDescent="0.2">
      <c r="A2326" s="228" t="s">
        <v>2527</v>
      </c>
      <c r="B2326" s="298">
        <v>148.92324296800001</v>
      </c>
      <c r="E2326" s="280">
        <v>65</v>
      </c>
    </row>
    <row r="2327" spans="1:5" x14ac:dyDescent="0.2">
      <c r="A2327" s="228" t="s">
        <v>2528</v>
      </c>
      <c r="B2327" s="298">
        <v>149.92365497599999</v>
      </c>
      <c r="E2327" s="280">
        <v>65</v>
      </c>
    </row>
    <row r="2328" spans="1:5" x14ac:dyDescent="0.2">
      <c r="A2328" s="228" t="s">
        <v>2529</v>
      </c>
      <c r="B2328" s="298">
        <v>150.923098638</v>
      </c>
      <c r="E2328" s="280">
        <v>65</v>
      </c>
    </row>
    <row r="2329" spans="1:5" x14ac:dyDescent="0.2">
      <c r="A2329" s="228" t="s">
        <v>2530</v>
      </c>
      <c r="B2329" s="298">
        <v>151.92407225900001</v>
      </c>
      <c r="E2329" s="280">
        <v>65</v>
      </c>
    </row>
    <row r="2330" spans="1:5" x14ac:dyDescent="0.2">
      <c r="A2330" s="228" t="s">
        <v>2531</v>
      </c>
      <c r="B2330" s="298">
        <v>152.92343275499999</v>
      </c>
      <c r="E2330" s="280">
        <v>65</v>
      </c>
    </row>
    <row r="2331" spans="1:5" x14ac:dyDescent="0.2">
      <c r="A2331" s="228" t="s">
        <v>2532</v>
      </c>
      <c r="B2331" s="298">
        <v>153.924686353</v>
      </c>
      <c r="E2331" s="280">
        <v>65</v>
      </c>
    </row>
    <row r="2332" spans="1:5" x14ac:dyDescent="0.2">
      <c r="A2332" s="228" t="s">
        <v>2533</v>
      </c>
      <c r="B2332" s="298">
        <v>154.923500477</v>
      </c>
      <c r="E2332" s="280">
        <v>65</v>
      </c>
    </row>
    <row r="2333" spans="1:5" x14ac:dyDescent="0.2">
      <c r="A2333" s="228" t="s">
        <v>2534</v>
      </c>
      <c r="B2333" s="298">
        <v>155.924743836</v>
      </c>
      <c r="E2333" s="280">
        <v>65</v>
      </c>
    </row>
    <row r="2334" spans="1:5" x14ac:dyDescent="0.2">
      <c r="A2334" s="228" t="s">
        <v>2535</v>
      </c>
      <c r="B2334" s="298">
        <v>156.92402127</v>
      </c>
      <c r="E2334" s="280">
        <v>65</v>
      </c>
    </row>
    <row r="2335" spans="1:5" x14ac:dyDescent="0.2">
      <c r="A2335" s="228" t="s">
        <v>2536</v>
      </c>
      <c r="B2335" s="298">
        <v>157.925410347</v>
      </c>
      <c r="E2335" s="280">
        <v>65</v>
      </c>
    </row>
    <row r="2336" spans="1:5" x14ac:dyDescent="0.2">
      <c r="A2336" s="228" t="s">
        <v>2537</v>
      </c>
      <c r="B2336" s="298">
        <v>158.92534322099999</v>
      </c>
      <c r="E2336" s="280">
        <v>65</v>
      </c>
    </row>
    <row r="2337" spans="1:5" x14ac:dyDescent="0.2">
      <c r="A2337" s="228" t="s">
        <v>2538</v>
      </c>
      <c r="B2337" s="298">
        <v>159.927164108</v>
      </c>
      <c r="E2337" s="280">
        <v>65</v>
      </c>
    </row>
    <row r="2338" spans="1:5" x14ac:dyDescent="0.2">
      <c r="A2338" s="228" t="s">
        <v>2539</v>
      </c>
      <c r="B2338" s="298">
        <v>160.92756637400001</v>
      </c>
      <c r="E2338" s="280">
        <v>65</v>
      </c>
    </row>
    <row r="2339" spans="1:5" x14ac:dyDescent="0.2">
      <c r="A2339" s="228" t="s">
        <v>2540</v>
      </c>
      <c r="B2339" s="298">
        <v>161.929484863</v>
      </c>
      <c r="E2339" s="280">
        <v>65</v>
      </c>
    </row>
    <row r="2340" spans="1:5" x14ac:dyDescent="0.2">
      <c r="A2340" s="228" t="s">
        <v>2541</v>
      </c>
      <c r="B2340" s="298">
        <v>162.930644003</v>
      </c>
      <c r="E2340" s="280">
        <v>65</v>
      </c>
    </row>
    <row r="2341" spans="1:5" x14ac:dyDescent="0.2">
      <c r="A2341" s="228" t="s">
        <v>2542</v>
      </c>
      <c r="B2341" s="298">
        <v>163.93334731300001</v>
      </c>
      <c r="E2341" s="280">
        <v>65</v>
      </c>
    </row>
    <row r="2342" spans="1:5" x14ac:dyDescent="0.2">
      <c r="A2342" s="228" t="s">
        <v>2543</v>
      </c>
      <c r="B2342" s="298">
        <v>164.93487999999999</v>
      </c>
      <c r="E2342" s="280">
        <v>65</v>
      </c>
    </row>
    <row r="2343" spans="1:5" x14ac:dyDescent="0.2">
      <c r="A2343" s="228" t="s">
        <v>2544</v>
      </c>
      <c r="B2343" s="298">
        <v>165.93805</v>
      </c>
      <c r="E2343" s="280">
        <v>65</v>
      </c>
    </row>
    <row r="2344" spans="1:5" x14ac:dyDescent="0.2">
      <c r="A2344" s="228" t="s">
        <v>2545</v>
      </c>
      <c r="B2344" s="298">
        <v>166.94005000000001</v>
      </c>
      <c r="E2344" s="280">
        <v>65</v>
      </c>
    </row>
    <row r="2345" spans="1:5" x14ac:dyDescent="0.2">
      <c r="A2345" s="287" t="s">
        <v>2546</v>
      </c>
      <c r="B2345" s="299">
        <v>98</v>
      </c>
      <c r="C2345" s="288">
        <v>0</v>
      </c>
      <c r="D2345" s="288">
        <v>0</v>
      </c>
      <c r="E2345" s="288">
        <v>43</v>
      </c>
    </row>
    <row r="2346" spans="1:5" x14ac:dyDescent="0.2">
      <c r="A2346" s="228" t="s">
        <v>2547</v>
      </c>
      <c r="B2346" s="298">
        <v>99.907656680000002</v>
      </c>
      <c r="E2346" s="280">
        <v>43</v>
      </c>
    </row>
    <row r="2347" spans="1:5" x14ac:dyDescent="0.2">
      <c r="A2347" s="228" t="s">
        <v>2548</v>
      </c>
      <c r="B2347" s="298">
        <v>100.907313672</v>
      </c>
      <c r="E2347" s="280">
        <v>43</v>
      </c>
    </row>
    <row r="2348" spans="1:5" x14ac:dyDescent="0.2">
      <c r="A2348" s="228" t="s">
        <v>2549</v>
      </c>
      <c r="B2348" s="298">
        <v>101.909212293</v>
      </c>
      <c r="E2348" s="280">
        <v>43</v>
      </c>
    </row>
    <row r="2349" spans="1:5" x14ac:dyDescent="0.2">
      <c r="A2349" s="228" t="s">
        <v>2550</v>
      </c>
      <c r="B2349" s="298">
        <v>102.909178164</v>
      </c>
      <c r="E2349" s="280">
        <v>43</v>
      </c>
    </row>
    <row r="2350" spans="1:5" x14ac:dyDescent="0.2">
      <c r="A2350" s="228" t="s">
        <v>2551</v>
      </c>
      <c r="B2350" s="298">
        <v>103.911444258</v>
      </c>
      <c r="E2350" s="280">
        <v>43</v>
      </c>
    </row>
    <row r="2351" spans="1:5" x14ac:dyDescent="0.2">
      <c r="A2351" s="228" t="s">
        <v>2552</v>
      </c>
      <c r="B2351" s="298">
        <v>104.911657402</v>
      </c>
      <c r="E2351" s="280">
        <v>43</v>
      </c>
    </row>
    <row r="2352" spans="1:5" x14ac:dyDescent="0.2">
      <c r="A2352" s="228" t="s">
        <v>2553</v>
      </c>
      <c r="B2352" s="298">
        <v>105.914355847</v>
      </c>
      <c r="E2352" s="280">
        <v>43</v>
      </c>
    </row>
    <row r="2353" spans="1:5" x14ac:dyDescent="0.2">
      <c r="A2353" s="228" t="s">
        <v>2554</v>
      </c>
      <c r="B2353" s="298">
        <v>106.915082015</v>
      </c>
      <c r="E2353" s="280">
        <v>43</v>
      </c>
    </row>
    <row r="2354" spans="1:5" x14ac:dyDescent="0.2">
      <c r="A2354" s="228" t="s">
        <v>2555</v>
      </c>
      <c r="B2354" s="298">
        <v>107.918480317</v>
      </c>
      <c r="E2354" s="280">
        <v>43</v>
      </c>
    </row>
    <row r="2355" spans="1:5" x14ac:dyDescent="0.2">
      <c r="A2355" s="228" t="s">
        <v>2556</v>
      </c>
      <c r="B2355" s="298">
        <v>108.91962700000001</v>
      </c>
      <c r="E2355" s="280">
        <v>43</v>
      </c>
    </row>
    <row r="2356" spans="1:5" x14ac:dyDescent="0.2">
      <c r="A2356" s="228" t="s">
        <v>2557</v>
      </c>
      <c r="B2356" s="298">
        <v>109.92339</v>
      </c>
      <c r="E2356" s="280">
        <v>43</v>
      </c>
    </row>
    <row r="2357" spans="1:5" x14ac:dyDescent="0.2">
      <c r="A2357" s="228" t="s">
        <v>2558</v>
      </c>
      <c r="B2357" s="298">
        <v>110.92505</v>
      </c>
      <c r="E2357" s="280">
        <v>43</v>
      </c>
    </row>
    <row r="2358" spans="1:5" x14ac:dyDescent="0.2">
      <c r="A2358" s="228" t="s">
        <v>2559</v>
      </c>
      <c r="B2358" s="298">
        <v>111.92923999999999</v>
      </c>
      <c r="E2358" s="280">
        <v>43</v>
      </c>
    </row>
    <row r="2359" spans="1:5" x14ac:dyDescent="0.2">
      <c r="A2359" s="228" t="s">
        <v>2560</v>
      </c>
      <c r="B2359" s="298">
        <v>112.93133</v>
      </c>
      <c r="E2359" s="280">
        <v>43</v>
      </c>
    </row>
    <row r="2360" spans="1:5" x14ac:dyDescent="0.2">
      <c r="A2360" s="228" t="s">
        <v>2561</v>
      </c>
      <c r="B2360" s="298">
        <v>85.942959999999999</v>
      </c>
      <c r="E2360" s="280">
        <v>43</v>
      </c>
    </row>
    <row r="2361" spans="1:5" x14ac:dyDescent="0.2">
      <c r="A2361" s="228" t="s">
        <v>2562</v>
      </c>
      <c r="B2361" s="298">
        <v>86.936530000000005</v>
      </c>
      <c r="E2361" s="280">
        <v>43</v>
      </c>
    </row>
    <row r="2362" spans="1:5" x14ac:dyDescent="0.2">
      <c r="A2362" s="228" t="s">
        <v>2563</v>
      </c>
      <c r="B2362" s="298">
        <v>87.932829999999996</v>
      </c>
      <c r="E2362" s="280">
        <v>43</v>
      </c>
    </row>
    <row r="2363" spans="1:5" x14ac:dyDescent="0.2">
      <c r="A2363" s="228" t="s">
        <v>2564</v>
      </c>
      <c r="B2363" s="298">
        <v>88.927541933000001</v>
      </c>
      <c r="E2363" s="280">
        <v>43</v>
      </c>
    </row>
    <row r="2364" spans="1:5" x14ac:dyDescent="0.2">
      <c r="A2364" s="228" t="s">
        <v>2565</v>
      </c>
      <c r="B2364" s="298">
        <v>89.923747000000006</v>
      </c>
      <c r="E2364" s="280">
        <v>43</v>
      </c>
    </row>
    <row r="2365" spans="1:5" x14ac:dyDescent="0.2">
      <c r="A2365" s="228" t="s">
        <v>2566</v>
      </c>
      <c r="B2365" s="298">
        <v>90.918426284000006</v>
      </c>
      <c r="E2365" s="280">
        <v>43</v>
      </c>
    </row>
    <row r="2366" spans="1:5" x14ac:dyDescent="0.2">
      <c r="A2366" s="228" t="s">
        <v>2567</v>
      </c>
      <c r="B2366" s="298">
        <v>91.915258707999996</v>
      </c>
      <c r="E2366" s="280">
        <v>43</v>
      </c>
    </row>
    <row r="2367" spans="1:5" x14ac:dyDescent="0.2">
      <c r="A2367" s="228" t="s">
        <v>2568</v>
      </c>
      <c r="B2367" s="298">
        <v>92.910247526000006</v>
      </c>
      <c r="E2367" s="280">
        <v>43</v>
      </c>
    </row>
    <row r="2368" spans="1:5" x14ac:dyDescent="0.2">
      <c r="A2368" s="228" t="s">
        <v>2569</v>
      </c>
      <c r="B2368" s="298">
        <v>93.909655400999995</v>
      </c>
      <c r="E2368" s="280">
        <v>43</v>
      </c>
    </row>
    <row r="2369" spans="1:5" x14ac:dyDescent="0.2">
      <c r="A2369" s="228" t="s">
        <v>2570</v>
      </c>
      <c r="B2369" s="298">
        <v>94.907656355</v>
      </c>
      <c r="E2369" s="280">
        <v>43</v>
      </c>
    </row>
    <row r="2370" spans="1:5" x14ac:dyDescent="0.2">
      <c r="A2370" s="228" t="s">
        <v>2571</v>
      </c>
      <c r="B2370" s="298">
        <v>95.907869876999996</v>
      </c>
      <c r="E2370" s="280">
        <v>43</v>
      </c>
    </row>
    <row r="2371" spans="1:5" x14ac:dyDescent="0.2">
      <c r="A2371" s="228" t="s">
        <v>2572</v>
      </c>
      <c r="B2371" s="298">
        <v>96.906363917999997</v>
      </c>
      <c r="E2371" s="280">
        <v>43</v>
      </c>
    </row>
    <row r="2372" spans="1:5" x14ac:dyDescent="0.2">
      <c r="A2372" s="228" t="s">
        <v>2573</v>
      </c>
      <c r="B2372" s="298">
        <v>97.907214792999994</v>
      </c>
      <c r="E2372" s="280">
        <v>43</v>
      </c>
    </row>
    <row r="2373" spans="1:5" x14ac:dyDescent="0.2">
      <c r="A2373" s="228" t="s">
        <v>2574</v>
      </c>
      <c r="B2373" s="298">
        <v>98.906253641000006</v>
      </c>
      <c r="C2373" s="282">
        <v>213000</v>
      </c>
      <c r="D2373" s="280" t="s">
        <v>249</v>
      </c>
      <c r="E2373" s="280">
        <v>43</v>
      </c>
    </row>
    <row r="2374" spans="1:5" x14ac:dyDescent="0.2">
      <c r="A2374" s="228" t="s">
        <v>3165</v>
      </c>
      <c r="B2374" s="298">
        <v>98.9</v>
      </c>
      <c r="C2374" s="282">
        <v>6.01</v>
      </c>
      <c r="D2374" s="280" t="s">
        <v>199</v>
      </c>
      <c r="E2374" s="280">
        <v>43</v>
      </c>
    </row>
    <row r="2375" spans="1:5" x14ac:dyDescent="0.2">
      <c r="A2375" s="287" t="s">
        <v>2575</v>
      </c>
      <c r="B2375" s="299">
        <v>127.6</v>
      </c>
      <c r="C2375" s="288">
        <v>0</v>
      </c>
      <c r="D2375" s="288">
        <v>0</v>
      </c>
      <c r="E2375" s="288">
        <v>52</v>
      </c>
    </row>
    <row r="2376" spans="1:5" x14ac:dyDescent="0.2">
      <c r="A2376" s="228" t="s">
        <v>2576</v>
      </c>
      <c r="B2376" s="298">
        <v>105.937735</v>
      </c>
      <c r="E2376" s="280">
        <v>52</v>
      </c>
    </row>
    <row r="2377" spans="1:5" x14ac:dyDescent="0.2">
      <c r="A2377" s="228" t="s">
        <v>2577</v>
      </c>
      <c r="B2377" s="298">
        <v>106.935031</v>
      </c>
      <c r="E2377" s="280">
        <v>52</v>
      </c>
    </row>
    <row r="2378" spans="1:5" x14ac:dyDescent="0.2">
      <c r="A2378" s="228" t="s">
        <v>2578</v>
      </c>
      <c r="B2378" s="298">
        <v>107.929483476</v>
      </c>
      <c r="E2378" s="280">
        <v>52</v>
      </c>
    </row>
    <row r="2379" spans="1:5" x14ac:dyDescent="0.2">
      <c r="A2379" s="228" t="s">
        <v>2579</v>
      </c>
      <c r="B2379" s="298">
        <v>108.927447288</v>
      </c>
      <c r="E2379" s="280">
        <v>52</v>
      </c>
    </row>
    <row r="2380" spans="1:5" x14ac:dyDescent="0.2">
      <c r="A2380" s="228" t="s">
        <v>2580</v>
      </c>
      <c r="B2380" s="298">
        <v>109.922404219</v>
      </c>
      <c r="E2380" s="280">
        <v>52</v>
      </c>
    </row>
    <row r="2381" spans="1:5" x14ac:dyDescent="0.2">
      <c r="A2381" s="228" t="s">
        <v>2581</v>
      </c>
      <c r="B2381" s="298">
        <v>110.921121591</v>
      </c>
      <c r="E2381" s="280">
        <v>52</v>
      </c>
    </row>
    <row r="2382" spans="1:5" x14ac:dyDescent="0.2">
      <c r="A2382" s="228" t="s">
        <v>2582</v>
      </c>
      <c r="B2382" s="298">
        <v>111.91705892900001</v>
      </c>
      <c r="E2382" s="280">
        <v>52</v>
      </c>
    </row>
    <row r="2383" spans="1:5" x14ac:dyDescent="0.2">
      <c r="A2383" s="228" t="s">
        <v>2583</v>
      </c>
      <c r="B2383" s="298">
        <v>112.915916</v>
      </c>
      <c r="E2383" s="280">
        <v>52</v>
      </c>
    </row>
    <row r="2384" spans="1:5" x14ac:dyDescent="0.2">
      <c r="A2384" s="228" t="s">
        <v>2584</v>
      </c>
      <c r="B2384" s="298">
        <v>113.912041</v>
      </c>
      <c r="E2384" s="280">
        <v>52</v>
      </c>
    </row>
    <row r="2385" spans="1:5" x14ac:dyDescent="0.2">
      <c r="A2385" s="228" t="s">
        <v>2585</v>
      </c>
      <c r="B2385" s="298">
        <v>114.911579942</v>
      </c>
      <c r="E2385" s="280">
        <v>52</v>
      </c>
    </row>
    <row r="2386" spans="1:5" x14ac:dyDescent="0.2">
      <c r="A2386" s="228" t="s">
        <v>2586</v>
      </c>
      <c r="B2386" s="298">
        <v>115.90840931</v>
      </c>
      <c r="E2386" s="280">
        <v>52</v>
      </c>
    </row>
    <row r="2387" spans="1:5" x14ac:dyDescent="0.2">
      <c r="A2387" s="228" t="s">
        <v>2587</v>
      </c>
      <c r="B2387" s="298">
        <v>116.908635651</v>
      </c>
      <c r="E2387" s="280">
        <v>52</v>
      </c>
    </row>
    <row r="2388" spans="1:5" x14ac:dyDescent="0.2">
      <c r="A2388" s="228" t="s">
        <v>2588</v>
      </c>
      <c r="B2388" s="298">
        <v>117.905831582</v>
      </c>
      <c r="E2388" s="280">
        <v>52</v>
      </c>
    </row>
    <row r="2389" spans="1:5" x14ac:dyDescent="0.2">
      <c r="A2389" s="228" t="s">
        <v>2589</v>
      </c>
      <c r="B2389" s="298">
        <v>118.906409704</v>
      </c>
      <c r="E2389" s="280">
        <v>52</v>
      </c>
    </row>
    <row r="2390" spans="1:5" x14ac:dyDescent="0.2">
      <c r="A2390" s="228" t="s">
        <v>2590</v>
      </c>
      <c r="B2390" s="298">
        <v>119.904026356</v>
      </c>
      <c r="E2390" s="280">
        <v>52</v>
      </c>
    </row>
    <row r="2391" spans="1:5" x14ac:dyDescent="0.2">
      <c r="A2391" s="228" t="s">
        <v>2591</v>
      </c>
      <c r="B2391" s="298">
        <v>120.90493470200001</v>
      </c>
      <c r="E2391" s="280">
        <v>52</v>
      </c>
    </row>
    <row r="2392" spans="1:5" x14ac:dyDescent="0.2">
      <c r="A2392" s="228" t="s">
        <v>2592</v>
      </c>
      <c r="B2392" s="298">
        <v>121.90305583200001</v>
      </c>
      <c r="E2392" s="280">
        <v>52</v>
      </c>
    </row>
    <row r="2393" spans="1:5" x14ac:dyDescent="0.2">
      <c r="A2393" s="228" t="s">
        <v>2593</v>
      </c>
      <c r="B2393" s="298">
        <v>122.904271052</v>
      </c>
      <c r="E2393" s="280">
        <v>52</v>
      </c>
    </row>
    <row r="2394" spans="1:5" x14ac:dyDescent="0.2">
      <c r="A2394" s="228" t="s">
        <v>2594</v>
      </c>
      <c r="B2394" s="298">
        <v>123.90281875300001</v>
      </c>
      <c r="E2394" s="280">
        <v>52</v>
      </c>
    </row>
    <row r="2395" spans="1:5" x14ac:dyDescent="0.2">
      <c r="A2395" s="228" t="s">
        <v>2595</v>
      </c>
      <c r="B2395" s="298">
        <v>124.904424112</v>
      </c>
      <c r="E2395" s="280">
        <v>52</v>
      </c>
    </row>
    <row r="2396" spans="1:5" x14ac:dyDescent="0.2">
      <c r="A2396" s="228" t="s">
        <v>2596</v>
      </c>
      <c r="B2396" s="298">
        <v>125.90330494200001</v>
      </c>
      <c r="E2396" s="280">
        <v>52</v>
      </c>
    </row>
    <row r="2397" spans="1:5" x14ac:dyDescent="0.2">
      <c r="A2397" s="228" t="s">
        <v>2597</v>
      </c>
      <c r="B2397" s="298">
        <v>126.905216673</v>
      </c>
      <c r="E2397" s="280">
        <v>52</v>
      </c>
    </row>
    <row r="2398" spans="1:5" x14ac:dyDescent="0.2">
      <c r="A2398" s="228" t="s">
        <v>2598</v>
      </c>
      <c r="B2398" s="298">
        <v>127.904461512</v>
      </c>
      <c r="E2398" s="280">
        <v>52</v>
      </c>
    </row>
    <row r="2399" spans="1:5" x14ac:dyDescent="0.2">
      <c r="A2399" s="228" t="s">
        <v>2599</v>
      </c>
      <c r="B2399" s="298">
        <v>128.90659585200001</v>
      </c>
      <c r="E2399" s="280">
        <v>52</v>
      </c>
    </row>
    <row r="2400" spans="1:5" x14ac:dyDescent="0.2">
      <c r="A2400" s="228" t="s">
        <v>2600</v>
      </c>
      <c r="B2400" s="298">
        <v>129.90622292399999</v>
      </c>
      <c r="E2400" s="280">
        <v>52</v>
      </c>
    </row>
    <row r="2401" spans="1:5" x14ac:dyDescent="0.2">
      <c r="A2401" s="228" t="s">
        <v>2601</v>
      </c>
      <c r="B2401" s="298">
        <v>130.90852205100001</v>
      </c>
      <c r="E2401" s="280">
        <v>52</v>
      </c>
    </row>
    <row r="2402" spans="1:5" x14ac:dyDescent="0.2">
      <c r="A2402" s="228" t="s">
        <v>2602</v>
      </c>
      <c r="B2402" s="298">
        <v>131.90852392599999</v>
      </c>
      <c r="E2402" s="280">
        <v>52</v>
      </c>
    </row>
    <row r="2403" spans="1:5" x14ac:dyDescent="0.2">
      <c r="A2403" s="228" t="s">
        <v>2603</v>
      </c>
      <c r="B2403" s="298">
        <v>132.91093935699999</v>
      </c>
      <c r="E2403" s="280">
        <v>52</v>
      </c>
    </row>
    <row r="2404" spans="1:5" x14ac:dyDescent="0.2">
      <c r="A2404" s="228" t="s">
        <v>2604</v>
      </c>
      <c r="B2404" s="298">
        <v>133.91154590400001</v>
      </c>
      <c r="E2404" s="280">
        <v>52</v>
      </c>
    </row>
    <row r="2405" spans="1:5" x14ac:dyDescent="0.2">
      <c r="A2405" s="228" t="s">
        <v>2605</v>
      </c>
      <c r="B2405" s="298">
        <v>134.91645113000001</v>
      </c>
      <c r="E2405" s="280">
        <v>52</v>
      </c>
    </row>
    <row r="2406" spans="1:5" x14ac:dyDescent="0.2">
      <c r="A2406" s="228" t="s">
        <v>2606</v>
      </c>
      <c r="B2406" s="298">
        <v>135.92010350999999</v>
      </c>
      <c r="E2406" s="280">
        <v>52</v>
      </c>
    </row>
    <row r="2407" spans="1:5" x14ac:dyDescent="0.2">
      <c r="A2407" s="228" t="s">
        <v>2607</v>
      </c>
      <c r="B2407" s="298">
        <v>136.925325149</v>
      </c>
      <c r="E2407" s="280">
        <v>52</v>
      </c>
    </row>
    <row r="2408" spans="1:5" x14ac:dyDescent="0.2">
      <c r="A2408" s="228" t="s">
        <v>2608</v>
      </c>
      <c r="B2408" s="298">
        <v>137.92921999999999</v>
      </c>
      <c r="E2408" s="280">
        <v>52</v>
      </c>
    </row>
    <row r="2409" spans="1:5" x14ac:dyDescent="0.2">
      <c r="A2409" s="287" t="s">
        <v>2609</v>
      </c>
      <c r="B2409" s="299">
        <v>232.03809999999999</v>
      </c>
      <c r="C2409" s="293">
        <v>14000000000</v>
      </c>
      <c r="D2409" s="288" t="s">
        <v>249</v>
      </c>
      <c r="E2409" s="288">
        <v>90</v>
      </c>
    </row>
    <row r="2410" spans="1:5" x14ac:dyDescent="0.2">
      <c r="A2410" s="228" t="s">
        <v>2610</v>
      </c>
      <c r="B2410" s="298">
        <v>212.01291699999999</v>
      </c>
      <c r="E2410" s="280">
        <v>90</v>
      </c>
    </row>
    <row r="2411" spans="1:5" x14ac:dyDescent="0.2">
      <c r="A2411" s="228" t="s">
        <v>2611</v>
      </c>
      <c r="B2411" s="298">
        <v>213.01296199999999</v>
      </c>
      <c r="E2411" s="280">
        <v>90</v>
      </c>
    </row>
    <row r="2412" spans="1:5" x14ac:dyDescent="0.2">
      <c r="A2412" s="228" t="s">
        <v>2612</v>
      </c>
      <c r="B2412" s="298">
        <v>214.01145099999999</v>
      </c>
      <c r="E2412" s="280">
        <v>90</v>
      </c>
    </row>
    <row r="2413" spans="1:5" x14ac:dyDescent="0.2">
      <c r="A2413" s="228" t="s">
        <v>2613</v>
      </c>
      <c r="B2413" s="298">
        <v>215.01172574500001</v>
      </c>
      <c r="E2413" s="280">
        <v>90</v>
      </c>
    </row>
    <row r="2414" spans="1:5" x14ac:dyDescent="0.2">
      <c r="A2414" s="228" t="s">
        <v>2614</v>
      </c>
      <c r="B2414" s="298">
        <v>216.01105057500001</v>
      </c>
      <c r="E2414" s="280">
        <v>90</v>
      </c>
    </row>
    <row r="2415" spans="1:5" x14ac:dyDescent="0.2">
      <c r="A2415" s="228" t="s">
        <v>2615</v>
      </c>
      <c r="B2415" s="298">
        <v>217.01306377399999</v>
      </c>
      <c r="E2415" s="280">
        <v>90</v>
      </c>
    </row>
    <row r="2416" spans="1:5" x14ac:dyDescent="0.2">
      <c r="A2416" s="228" t="s">
        <v>2616</v>
      </c>
      <c r="B2416" s="298">
        <v>218.013267364</v>
      </c>
      <c r="E2416" s="280">
        <v>90</v>
      </c>
    </row>
    <row r="2417" spans="1:5" x14ac:dyDescent="0.2">
      <c r="A2417" s="228" t="s">
        <v>2617</v>
      </c>
      <c r="B2417" s="298">
        <v>219.01552115800001</v>
      </c>
      <c r="E2417" s="280">
        <v>90</v>
      </c>
    </row>
    <row r="2418" spans="1:5" x14ac:dyDescent="0.2">
      <c r="A2418" s="228" t="s">
        <v>2618</v>
      </c>
      <c r="B2418" s="298">
        <v>220.015732738</v>
      </c>
      <c r="E2418" s="280">
        <v>90</v>
      </c>
    </row>
    <row r="2419" spans="1:5" x14ac:dyDescent="0.2">
      <c r="A2419" s="228" t="s">
        <v>2619</v>
      </c>
      <c r="B2419" s="298">
        <v>221.018171123</v>
      </c>
      <c r="E2419" s="280">
        <v>90</v>
      </c>
    </row>
    <row r="2420" spans="1:5" x14ac:dyDescent="0.2">
      <c r="A2420" s="228" t="s">
        <v>2620</v>
      </c>
      <c r="B2420" s="298">
        <v>222.01845388699999</v>
      </c>
      <c r="E2420" s="280">
        <v>90</v>
      </c>
    </row>
    <row r="2421" spans="1:5" x14ac:dyDescent="0.2">
      <c r="A2421" s="228" t="s">
        <v>2621</v>
      </c>
      <c r="B2421" s="298">
        <v>223.02078689499999</v>
      </c>
      <c r="E2421" s="280">
        <v>90</v>
      </c>
    </row>
    <row r="2422" spans="1:5" x14ac:dyDescent="0.2">
      <c r="A2422" s="228" t="s">
        <v>2622</v>
      </c>
      <c r="B2422" s="298">
        <v>224.021459013</v>
      </c>
      <c r="E2422" s="280">
        <v>90</v>
      </c>
    </row>
    <row r="2423" spans="1:5" x14ac:dyDescent="0.2">
      <c r="A2423" s="228" t="s">
        <v>2623</v>
      </c>
      <c r="B2423" s="298">
        <v>225.02394411</v>
      </c>
      <c r="E2423" s="280">
        <v>90</v>
      </c>
    </row>
    <row r="2424" spans="1:5" x14ac:dyDescent="0.2">
      <c r="A2424" s="228" t="s">
        <v>2624</v>
      </c>
      <c r="B2424" s="298">
        <v>226.02489056799999</v>
      </c>
      <c r="C2424" s="280">
        <v>30.6</v>
      </c>
      <c r="D2424" s="280" t="s">
        <v>218</v>
      </c>
      <c r="E2424" s="280">
        <v>90</v>
      </c>
    </row>
    <row r="2425" spans="1:5" x14ac:dyDescent="0.2">
      <c r="A2425" s="228" t="s">
        <v>2625</v>
      </c>
      <c r="B2425" s="298">
        <v>227.02769904600001</v>
      </c>
      <c r="C2425" s="280">
        <v>18.72</v>
      </c>
      <c r="D2425" s="280" t="s">
        <v>192</v>
      </c>
      <c r="E2425" s="280">
        <v>90</v>
      </c>
    </row>
    <row r="2426" spans="1:5" x14ac:dyDescent="0.2">
      <c r="A2426" s="228" t="s">
        <v>2626</v>
      </c>
      <c r="B2426" s="298">
        <v>228.028730983</v>
      </c>
      <c r="C2426" s="280">
        <v>1.913</v>
      </c>
      <c r="D2426" s="280" t="s">
        <v>249</v>
      </c>
      <c r="E2426" s="280">
        <v>90</v>
      </c>
    </row>
    <row r="2427" spans="1:5" x14ac:dyDescent="0.2">
      <c r="A2427" s="228" t="s">
        <v>2627</v>
      </c>
      <c r="B2427" s="298">
        <v>229.03175401600001</v>
      </c>
      <c r="C2427" s="282">
        <v>7300</v>
      </c>
      <c r="D2427" s="280" t="s">
        <v>249</v>
      </c>
      <c r="E2427" s="280">
        <v>90</v>
      </c>
    </row>
    <row r="2428" spans="1:5" x14ac:dyDescent="0.2">
      <c r="A2428" s="228" t="s">
        <v>2628</v>
      </c>
      <c r="B2428" s="298">
        <v>230.03312566</v>
      </c>
      <c r="C2428" s="282">
        <v>75400</v>
      </c>
      <c r="D2428" s="280" t="s">
        <v>249</v>
      </c>
      <c r="E2428" s="280">
        <v>90</v>
      </c>
    </row>
    <row r="2429" spans="1:5" x14ac:dyDescent="0.2">
      <c r="A2429" s="228" t="s">
        <v>2629</v>
      </c>
      <c r="B2429" s="298">
        <v>231.03629614600001</v>
      </c>
      <c r="C2429" s="280">
        <v>1.0629999999999999</v>
      </c>
      <c r="D2429" s="280" t="s">
        <v>192</v>
      </c>
      <c r="E2429" s="280">
        <v>90</v>
      </c>
    </row>
    <row r="2430" spans="1:5" x14ac:dyDescent="0.2">
      <c r="A2430" s="228" t="s">
        <v>2630</v>
      </c>
      <c r="B2430" s="298">
        <v>232.03804950599999</v>
      </c>
      <c r="C2430" s="282">
        <v>14000000000</v>
      </c>
      <c r="D2430" s="280" t="s">
        <v>249</v>
      </c>
      <c r="E2430" s="280">
        <v>90</v>
      </c>
    </row>
    <row r="2431" spans="1:5" x14ac:dyDescent="0.2">
      <c r="A2431" s="228" t="s">
        <v>2631</v>
      </c>
      <c r="B2431" s="298">
        <v>233.041576069</v>
      </c>
      <c r="C2431" s="280">
        <v>22.3</v>
      </c>
      <c r="D2431" s="280" t="s">
        <v>2632</v>
      </c>
      <c r="E2431" s="280">
        <v>90</v>
      </c>
    </row>
    <row r="2432" spans="1:5" x14ac:dyDescent="0.2">
      <c r="A2432" s="228" t="s">
        <v>2633</v>
      </c>
      <c r="B2432" s="298">
        <v>234.043596439</v>
      </c>
      <c r="C2432" s="280">
        <v>24.1</v>
      </c>
      <c r="D2432" s="280" t="s">
        <v>192</v>
      </c>
      <c r="E2432" s="280">
        <v>90</v>
      </c>
    </row>
    <row r="2433" spans="1:5" x14ac:dyDescent="0.2">
      <c r="A2433" s="228" t="s">
        <v>2634</v>
      </c>
      <c r="B2433" s="298">
        <v>235.04750536200001</v>
      </c>
      <c r="E2433" s="280">
        <v>90</v>
      </c>
    </row>
    <row r="2434" spans="1:5" x14ac:dyDescent="0.2">
      <c r="A2434" s="287" t="s">
        <v>2635</v>
      </c>
      <c r="B2434" s="299">
        <v>47.9</v>
      </c>
      <c r="C2434" s="288">
        <v>0</v>
      </c>
      <c r="D2434" s="288">
        <v>0</v>
      </c>
      <c r="E2434" s="288">
        <v>22</v>
      </c>
    </row>
    <row r="2435" spans="1:5" x14ac:dyDescent="0.2">
      <c r="A2435" s="228" t="s">
        <v>2636</v>
      </c>
      <c r="B2435" s="298">
        <v>38.009770000000003</v>
      </c>
      <c r="E2435" s="280">
        <v>22</v>
      </c>
    </row>
    <row r="2436" spans="1:5" x14ac:dyDescent="0.2">
      <c r="A2436" s="228" t="s">
        <v>2637</v>
      </c>
      <c r="B2436" s="298">
        <v>39.001322999999999</v>
      </c>
      <c r="E2436" s="280">
        <v>22</v>
      </c>
    </row>
    <row r="2437" spans="1:5" x14ac:dyDescent="0.2">
      <c r="A2437" s="228" t="s">
        <v>2638</v>
      </c>
      <c r="B2437" s="298">
        <v>39.990498905999999</v>
      </c>
      <c r="E2437" s="280">
        <v>22</v>
      </c>
    </row>
    <row r="2438" spans="1:5" x14ac:dyDescent="0.2">
      <c r="A2438" s="228" t="s">
        <v>2639</v>
      </c>
      <c r="B2438" s="298">
        <v>40.983131</v>
      </c>
      <c r="E2438" s="280">
        <v>22</v>
      </c>
    </row>
    <row r="2439" spans="1:5" x14ac:dyDescent="0.2">
      <c r="A2439" s="228" t="s">
        <v>2640</v>
      </c>
      <c r="B2439" s="298">
        <v>41.973031620999997</v>
      </c>
      <c r="E2439" s="280">
        <v>22</v>
      </c>
    </row>
    <row r="2440" spans="1:5" x14ac:dyDescent="0.2">
      <c r="A2440" s="228" t="s">
        <v>2641</v>
      </c>
      <c r="B2440" s="298">
        <v>42.968523341000001</v>
      </c>
      <c r="E2440" s="280">
        <v>22</v>
      </c>
    </row>
    <row r="2441" spans="1:5" x14ac:dyDescent="0.2">
      <c r="A2441" s="228" t="s">
        <v>2642</v>
      </c>
      <c r="B2441" s="298">
        <v>43.959690234</v>
      </c>
      <c r="E2441" s="280">
        <v>22</v>
      </c>
    </row>
    <row r="2442" spans="1:5" x14ac:dyDescent="0.2">
      <c r="A2442" s="228" t="s">
        <v>2643</v>
      </c>
      <c r="B2442" s="298">
        <v>44.958124320000003</v>
      </c>
      <c r="E2442" s="280">
        <v>22</v>
      </c>
    </row>
    <row r="2443" spans="1:5" x14ac:dyDescent="0.2">
      <c r="A2443" s="228" t="s">
        <v>2644</v>
      </c>
      <c r="B2443" s="298">
        <v>45.952629455</v>
      </c>
      <c r="E2443" s="280">
        <v>22</v>
      </c>
    </row>
    <row r="2444" spans="1:5" x14ac:dyDescent="0.2">
      <c r="A2444" s="228" t="s">
        <v>2645</v>
      </c>
      <c r="B2444" s="298">
        <v>46.951763737999997</v>
      </c>
      <c r="E2444" s="280">
        <v>22</v>
      </c>
    </row>
    <row r="2445" spans="1:5" x14ac:dyDescent="0.2">
      <c r="A2445" s="228" t="s">
        <v>2646</v>
      </c>
      <c r="B2445" s="298">
        <v>47.947946999999999</v>
      </c>
      <c r="E2445" s="280">
        <v>22</v>
      </c>
    </row>
    <row r="2446" spans="1:5" x14ac:dyDescent="0.2">
      <c r="A2446" s="228" t="s">
        <v>2647</v>
      </c>
      <c r="B2446" s="298">
        <v>48.947870735000002</v>
      </c>
      <c r="E2446" s="280">
        <v>22</v>
      </c>
    </row>
    <row r="2447" spans="1:5" x14ac:dyDescent="0.2">
      <c r="A2447" s="228" t="s">
        <v>2648</v>
      </c>
      <c r="B2447" s="298">
        <v>49.944792016000001</v>
      </c>
      <c r="E2447" s="280">
        <v>22</v>
      </c>
    </row>
    <row r="2448" spans="1:5" x14ac:dyDescent="0.2">
      <c r="A2448" s="228" t="s">
        <v>2649</v>
      </c>
      <c r="B2448" s="298">
        <v>50.946615964000003</v>
      </c>
      <c r="E2448" s="280">
        <v>22</v>
      </c>
    </row>
    <row r="2449" spans="1:5" x14ac:dyDescent="0.2">
      <c r="A2449" s="228" t="s">
        <v>2650</v>
      </c>
      <c r="B2449" s="298">
        <v>51.946898122</v>
      </c>
      <c r="E2449" s="280">
        <v>22</v>
      </c>
    </row>
    <row r="2450" spans="1:5" x14ac:dyDescent="0.2">
      <c r="A2450" s="228" t="s">
        <v>2651</v>
      </c>
      <c r="B2450" s="298">
        <v>52.949731346</v>
      </c>
      <c r="E2450" s="280">
        <v>22</v>
      </c>
    </row>
    <row r="2451" spans="1:5" x14ac:dyDescent="0.2">
      <c r="A2451" s="228" t="s">
        <v>2652</v>
      </c>
      <c r="B2451" s="298">
        <v>53.951037894000002</v>
      </c>
      <c r="E2451" s="280">
        <v>22</v>
      </c>
    </row>
    <row r="2452" spans="1:5" x14ac:dyDescent="0.2">
      <c r="A2452" s="228" t="s">
        <v>2653</v>
      </c>
      <c r="B2452" s="298">
        <v>54.955226492999998</v>
      </c>
      <c r="E2452" s="280">
        <v>22</v>
      </c>
    </row>
    <row r="2453" spans="1:5" x14ac:dyDescent="0.2">
      <c r="A2453" s="228" t="s">
        <v>2654</v>
      </c>
      <c r="B2453" s="298">
        <v>55.957990000000002</v>
      </c>
      <c r="E2453" s="280">
        <v>22</v>
      </c>
    </row>
    <row r="2454" spans="1:5" x14ac:dyDescent="0.2">
      <c r="A2454" s="228" t="s">
        <v>2655</v>
      </c>
      <c r="B2454" s="298">
        <v>56.963450000000002</v>
      </c>
      <c r="E2454" s="280">
        <v>22</v>
      </c>
    </row>
    <row r="2455" spans="1:5" x14ac:dyDescent="0.2">
      <c r="A2455" s="287" t="s">
        <v>2656</v>
      </c>
      <c r="B2455" s="299">
        <v>204.37</v>
      </c>
      <c r="C2455" s="288">
        <v>0</v>
      </c>
      <c r="D2455" s="288">
        <v>0</v>
      </c>
      <c r="E2455" s="288">
        <v>81</v>
      </c>
    </row>
    <row r="2456" spans="1:5" x14ac:dyDescent="0.2">
      <c r="A2456" s="228" t="s">
        <v>2657</v>
      </c>
      <c r="B2456" s="298">
        <v>176.000685</v>
      </c>
      <c r="E2456" s="280">
        <v>81</v>
      </c>
    </row>
    <row r="2457" spans="1:5" x14ac:dyDescent="0.2">
      <c r="A2457" s="228" t="s">
        <v>2658</v>
      </c>
      <c r="B2457" s="298">
        <v>176.996882</v>
      </c>
      <c r="E2457" s="280">
        <v>81</v>
      </c>
    </row>
    <row r="2458" spans="1:5" x14ac:dyDescent="0.2">
      <c r="A2458" s="228" t="s">
        <v>2659</v>
      </c>
      <c r="B2458" s="298">
        <v>177.99522999999999</v>
      </c>
      <c r="E2458" s="280">
        <v>81</v>
      </c>
    </row>
    <row r="2459" spans="1:5" x14ac:dyDescent="0.2">
      <c r="A2459" s="228" t="s">
        <v>2660</v>
      </c>
      <c r="B2459" s="298">
        <v>178.99166</v>
      </c>
      <c r="E2459" s="280">
        <v>81</v>
      </c>
    </row>
    <row r="2460" spans="1:5" x14ac:dyDescent="0.2">
      <c r="A2460" s="228" t="s">
        <v>2661</v>
      </c>
      <c r="B2460" s="298">
        <v>179.990194</v>
      </c>
      <c r="E2460" s="280">
        <v>81</v>
      </c>
    </row>
    <row r="2461" spans="1:5" x14ac:dyDescent="0.2">
      <c r="A2461" s="228" t="s">
        <v>2662</v>
      </c>
      <c r="B2461" s="298">
        <v>180.98689899999999</v>
      </c>
      <c r="E2461" s="280">
        <v>81</v>
      </c>
    </row>
    <row r="2462" spans="1:5" x14ac:dyDescent="0.2">
      <c r="A2462" s="228" t="s">
        <v>2663</v>
      </c>
      <c r="B2462" s="298">
        <v>181.98561000000001</v>
      </c>
      <c r="E2462" s="280">
        <v>81</v>
      </c>
    </row>
    <row r="2463" spans="1:5" x14ac:dyDescent="0.2">
      <c r="A2463" s="228" t="s">
        <v>2664</v>
      </c>
      <c r="B2463" s="298">
        <v>182.98259999999999</v>
      </c>
      <c r="E2463" s="280">
        <v>81</v>
      </c>
    </row>
    <row r="2464" spans="1:5" x14ac:dyDescent="0.2">
      <c r="A2464" s="228" t="s">
        <v>2665</v>
      </c>
      <c r="B2464" s="298">
        <v>183.98176000000001</v>
      </c>
      <c r="E2464" s="280">
        <v>81</v>
      </c>
    </row>
    <row r="2465" spans="1:5" x14ac:dyDescent="0.2">
      <c r="A2465" s="228" t="s">
        <v>2666</v>
      </c>
      <c r="B2465" s="298">
        <v>184.97909999999999</v>
      </c>
      <c r="E2465" s="280">
        <v>81</v>
      </c>
    </row>
    <row r="2466" spans="1:5" x14ac:dyDescent="0.2">
      <c r="A2466" s="228" t="s">
        <v>2667</v>
      </c>
      <c r="B2466" s="298">
        <v>185.97854799999999</v>
      </c>
      <c r="E2466" s="280">
        <v>81</v>
      </c>
    </row>
    <row r="2467" spans="1:5" x14ac:dyDescent="0.2">
      <c r="A2467" s="228" t="s">
        <v>2668</v>
      </c>
      <c r="B2467" s="298">
        <v>186.97617</v>
      </c>
      <c r="E2467" s="280">
        <v>81</v>
      </c>
    </row>
    <row r="2468" spans="1:5" x14ac:dyDescent="0.2">
      <c r="A2468" s="228" t="s">
        <v>2669</v>
      </c>
      <c r="B2468" s="298">
        <v>187.97592</v>
      </c>
      <c r="E2468" s="280">
        <v>81</v>
      </c>
    </row>
    <row r="2469" spans="1:5" x14ac:dyDescent="0.2">
      <c r="A2469" s="228" t="s">
        <v>2670</v>
      </c>
      <c r="B2469" s="298">
        <v>188.97368900000001</v>
      </c>
      <c r="E2469" s="280">
        <v>81</v>
      </c>
    </row>
    <row r="2470" spans="1:5" x14ac:dyDescent="0.2">
      <c r="A2470" s="228" t="s">
        <v>2671</v>
      </c>
      <c r="B2470" s="298">
        <v>189.973795</v>
      </c>
      <c r="E2470" s="280">
        <v>81</v>
      </c>
    </row>
    <row r="2471" spans="1:5" x14ac:dyDescent="0.2">
      <c r="A2471" s="228" t="s">
        <v>2672</v>
      </c>
      <c r="B2471" s="298">
        <v>190.97188600000001</v>
      </c>
      <c r="E2471" s="280">
        <v>81</v>
      </c>
    </row>
    <row r="2472" spans="1:5" x14ac:dyDescent="0.2">
      <c r="A2472" s="228" t="s">
        <v>2673</v>
      </c>
      <c r="B2472" s="298">
        <v>191.97214399999999</v>
      </c>
      <c r="E2472" s="280">
        <v>81</v>
      </c>
    </row>
    <row r="2473" spans="1:5" x14ac:dyDescent="0.2">
      <c r="A2473" s="228" t="s">
        <v>2674</v>
      </c>
      <c r="B2473" s="298">
        <v>192.970551</v>
      </c>
      <c r="E2473" s="280">
        <v>81</v>
      </c>
    </row>
    <row r="2474" spans="1:5" x14ac:dyDescent="0.2">
      <c r="A2474" s="228" t="s">
        <v>2675</v>
      </c>
      <c r="B2474" s="298">
        <v>193.97105199999999</v>
      </c>
      <c r="E2474" s="280">
        <v>81</v>
      </c>
    </row>
    <row r="2475" spans="1:5" x14ac:dyDescent="0.2">
      <c r="A2475" s="228" t="s">
        <v>2676</v>
      </c>
      <c r="B2475" s="298">
        <v>194.96964600000001</v>
      </c>
      <c r="E2475" s="280">
        <v>81</v>
      </c>
    </row>
    <row r="2476" spans="1:5" x14ac:dyDescent="0.2">
      <c r="A2476" s="228" t="s">
        <v>2677</v>
      </c>
      <c r="B2476" s="298">
        <v>195.97051300000001</v>
      </c>
      <c r="E2476" s="280">
        <v>81</v>
      </c>
    </row>
    <row r="2477" spans="1:5" x14ac:dyDescent="0.2">
      <c r="A2477" s="228" t="s">
        <v>2678</v>
      </c>
      <c r="B2477" s="298">
        <v>196.96953831600001</v>
      </c>
      <c r="E2477" s="280">
        <v>81</v>
      </c>
    </row>
    <row r="2478" spans="1:5" x14ac:dyDescent="0.2">
      <c r="A2478" s="228" t="s">
        <v>2679</v>
      </c>
      <c r="B2478" s="298">
        <v>197.970465985</v>
      </c>
      <c r="E2478" s="280">
        <v>81</v>
      </c>
    </row>
    <row r="2479" spans="1:5" x14ac:dyDescent="0.2">
      <c r="A2479" s="228" t="s">
        <v>2680</v>
      </c>
      <c r="B2479" s="298">
        <v>198.96981321800001</v>
      </c>
      <c r="E2479" s="280">
        <v>81</v>
      </c>
    </row>
    <row r="2480" spans="1:5" x14ac:dyDescent="0.2">
      <c r="A2480" s="228" t="s">
        <v>2681</v>
      </c>
      <c r="B2480" s="298">
        <v>199.97094519800001</v>
      </c>
      <c r="C2480" s="280">
        <v>1.087</v>
      </c>
      <c r="D2480" s="280" t="s">
        <v>192</v>
      </c>
      <c r="E2480" s="280">
        <v>81</v>
      </c>
    </row>
    <row r="2481" spans="1:5" x14ac:dyDescent="0.2">
      <c r="A2481" s="228" t="s">
        <v>2682</v>
      </c>
      <c r="B2481" s="298">
        <v>200.97080331399999</v>
      </c>
      <c r="C2481" s="280">
        <v>3.0379999999999998</v>
      </c>
      <c r="D2481" s="280" t="s">
        <v>192</v>
      </c>
      <c r="E2481" s="280">
        <v>81</v>
      </c>
    </row>
    <row r="2482" spans="1:5" x14ac:dyDescent="0.2">
      <c r="A2482" s="228" t="s">
        <v>2683</v>
      </c>
      <c r="B2482" s="298">
        <v>201.972090151</v>
      </c>
      <c r="C2482" s="280">
        <v>12.23</v>
      </c>
      <c r="D2482" s="280" t="s">
        <v>192</v>
      </c>
      <c r="E2482" s="280">
        <v>81</v>
      </c>
    </row>
    <row r="2483" spans="1:5" x14ac:dyDescent="0.2">
      <c r="A2483" s="228" t="s">
        <v>2684</v>
      </c>
      <c r="B2483" s="298">
        <v>202.97232863299999</v>
      </c>
      <c r="C2483" s="280">
        <v>0</v>
      </c>
      <c r="E2483" s="280">
        <v>81</v>
      </c>
    </row>
    <row r="2484" spans="1:5" x14ac:dyDescent="0.2">
      <c r="A2484" s="228" t="s">
        <v>2685</v>
      </c>
      <c r="B2484" s="298">
        <v>203.97384823499999</v>
      </c>
      <c r="C2484" s="280">
        <v>3.78</v>
      </c>
      <c r="D2484" s="280" t="s">
        <v>249</v>
      </c>
      <c r="E2484" s="280">
        <v>81</v>
      </c>
    </row>
    <row r="2485" spans="1:5" x14ac:dyDescent="0.2">
      <c r="A2485" s="228" t="s">
        <v>2686</v>
      </c>
      <c r="B2485" s="298">
        <v>204.97441177100001</v>
      </c>
      <c r="C2485" s="280">
        <v>0</v>
      </c>
      <c r="E2485" s="280">
        <v>81</v>
      </c>
    </row>
    <row r="2486" spans="1:5" x14ac:dyDescent="0.2">
      <c r="A2486" s="228" t="s">
        <v>2687</v>
      </c>
      <c r="B2486" s="298">
        <v>205.976094711</v>
      </c>
      <c r="C2486" s="280">
        <v>4.2</v>
      </c>
      <c r="D2486" s="280" t="s">
        <v>218</v>
      </c>
      <c r="E2486" s="280">
        <v>81</v>
      </c>
    </row>
    <row r="2487" spans="1:5" x14ac:dyDescent="0.2">
      <c r="A2487" s="228" t="s">
        <v>2688</v>
      </c>
      <c r="B2487" s="298">
        <v>206.97740782400001</v>
      </c>
      <c r="C2487" s="280">
        <v>4.7699999999999996</v>
      </c>
      <c r="D2487" s="280" t="s">
        <v>218</v>
      </c>
      <c r="E2487" s="280">
        <v>81</v>
      </c>
    </row>
    <row r="2488" spans="1:5" x14ac:dyDescent="0.2">
      <c r="A2488" s="228" t="s">
        <v>2689</v>
      </c>
      <c r="B2488" s="298">
        <v>207.982004348</v>
      </c>
      <c r="C2488" s="280">
        <v>3.0529999999999999</v>
      </c>
      <c r="D2488" s="280" t="s">
        <v>218</v>
      </c>
      <c r="E2488" s="280">
        <v>81</v>
      </c>
    </row>
    <row r="2489" spans="1:5" x14ac:dyDescent="0.2">
      <c r="A2489" s="228" t="s">
        <v>2690</v>
      </c>
      <c r="B2489" s="298">
        <v>208.98534826700001</v>
      </c>
      <c r="C2489" s="280">
        <v>2.2999999999999998</v>
      </c>
      <c r="D2489" s="280" t="s">
        <v>218</v>
      </c>
      <c r="E2489" s="280">
        <v>81</v>
      </c>
    </row>
    <row r="2490" spans="1:5" x14ac:dyDescent="0.2">
      <c r="A2490" s="228" t="s">
        <v>2691</v>
      </c>
      <c r="B2490" s="298">
        <v>209.990060774</v>
      </c>
      <c r="C2490" s="280">
        <v>1.3</v>
      </c>
      <c r="D2490" s="280" t="s">
        <v>218</v>
      </c>
      <c r="E2490" s="280">
        <v>81</v>
      </c>
    </row>
    <row r="2491" spans="1:5" x14ac:dyDescent="0.2">
      <c r="A2491" s="287" t="s">
        <v>2692</v>
      </c>
      <c r="B2491" s="299">
        <v>168.9342</v>
      </c>
      <c r="C2491" s="288">
        <v>0</v>
      </c>
      <c r="D2491" s="288">
        <v>0</v>
      </c>
      <c r="E2491" s="288">
        <v>69</v>
      </c>
    </row>
    <row r="2492" spans="1:5" x14ac:dyDescent="0.2">
      <c r="A2492" s="228" t="s">
        <v>2693</v>
      </c>
      <c r="B2492" s="298">
        <v>145.96688599999999</v>
      </c>
      <c r="E2492" s="280">
        <v>69</v>
      </c>
    </row>
    <row r="2493" spans="1:5" x14ac:dyDescent="0.2">
      <c r="A2493" s="228" t="s">
        <v>2694</v>
      </c>
      <c r="B2493" s="298">
        <v>146.960914</v>
      </c>
      <c r="E2493" s="280">
        <v>69</v>
      </c>
    </row>
    <row r="2494" spans="1:5" x14ac:dyDescent="0.2">
      <c r="A2494" s="228" t="s">
        <v>2695</v>
      </c>
      <c r="B2494" s="298">
        <v>147.95732000000001</v>
      </c>
      <c r="E2494" s="280">
        <v>69</v>
      </c>
    </row>
    <row r="2495" spans="1:5" x14ac:dyDescent="0.2">
      <c r="A2495" s="228" t="s">
        <v>2696</v>
      </c>
      <c r="B2495" s="298">
        <v>148.95237</v>
      </c>
      <c r="E2495" s="280">
        <v>69</v>
      </c>
    </row>
    <row r="2496" spans="1:5" x14ac:dyDescent="0.2">
      <c r="A2496" s="228" t="s">
        <v>2697</v>
      </c>
      <c r="B2496" s="298">
        <v>149.94938999999999</v>
      </c>
      <c r="E2496" s="280">
        <v>69</v>
      </c>
    </row>
    <row r="2497" spans="1:5" x14ac:dyDescent="0.2">
      <c r="A2497" s="228" t="s">
        <v>2698</v>
      </c>
      <c r="B2497" s="298">
        <v>150.94537399999999</v>
      </c>
      <c r="E2497" s="280">
        <v>69</v>
      </c>
    </row>
    <row r="2498" spans="1:5" x14ac:dyDescent="0.2">
      <c r="A2498" s="228" t="s">
        <v>2699</v>
      </c>
      <c r="B2498" s="298">
        <v>151.9443</v>
      </c>
      <c r="E2498" s="280">
        <v>69</v>
      </c>
    </row>
    <row r="2499" spans="1:5" x14ac:dyDescent="0.2">
      <c r="A2499" s="228" t="s">
        <v>2700</v>
      </c>
      <c r="B2499" s="298">
        <v>152.94202858400001</v>
      </c>
      <c r="E2499" s="280">
        <v>69</v>
      </c>
    </row>
    <row r="2500" spans="1:5" x14ac:dyDescent="0.2">
      <c r="A2500" s="228" t="s">
        <v>2701</v>
      </c>
      <c r="B2500" s="298">
        <v>153.94142500000001</v>
      </c>
      <c r="E2500" s="280">
        <v>69</v>
      </c>
    </row>
    <row r="2501" spans="1:5" x14ac:dyDescent="0.2">
      <c r="A2501" s="228" t="s">
        <v>2702</v>
      </c>
      <c r="B2501" s="298">
        <v>154.93919401299999</v>
      </c>
      <c r="E2501" s="280">
        <v>69</v>
      </c>
    </row>
    <row r="2502" spans="1:5" x14ac:dyDescent="0.2">
      <c r="A2502" s="228" t="s">
        <v>2703</v>
      </c>
      <c r="B2502" s="298">
        <v>155.93893108200001</v>
      </c>
      <c r="E2502" s="280">
        <v>69</v>
      </c>
    </row>
    <row r="2503" spans="1:5" x14ac:dyDescent="0.2">
      <c r="A2503" s="228" t="s">
        <v>2704</v>
      </c>
      <c r="B2503" s="298">
        <v>156.93672280199999</v>
      </c>
      <c r="E2503" s="280">
        <v>69</v>
      </c>
    </row>
    <row r="2504" spans="1:5" x14ac:dyDescent="0.2">
      <c r="A2504" s="228" t="s">
        <v>2705</v>
      </c>
      <c r="B2504" s="298">
        <v>157.93692899999999</v>
      </c>
      <c r="E2504" s="280">
        <v>69</v>
      </c>
    </row>
    <row r="2505" spans="1:5" x14ac:dyDescent="0.2">
      <c r="A2505" s="228" t="s">
        <v>2706</v>
      </c>
      <c r="B2505" s="298">
        <v>158.93481371499999</v>
      </c>
      <c r="E2505" s="280">
        <v>69</v>
      </c>
    </row>
    <row r="2506" spans="1:5" x14ac:dyDescent="0.2">
      <c r="A2506" s="228" t="s">
        <v>2707</v>
      </c>
      <c r="B2506" s="298">
        <v>159.93540229800001</v>
      </c>
      <c r="E2506" s="280">
        <v>69</v>
      </c>
    </row>
    <row r="2507" spans="1:5" x14ac:dyDescent="0.2">
      <c r="A2507" s="228" t="s">
        <v>2708</v>
      </c>
      <c r="B2507" s="298">
        <v>160.93339823900001</v>
      </c>
      <c r="E2507" s="280">
        <v>69</v>
      </c>
    </row>
    <row r="2508" spans="1:5" x14ac:dyDescent="0.2">
      <c r="A2508" s="228" t="s">
        <v>2709</v>
      </c>
      <c r="B2508" s="298">
        <v>161.93393821500001</v>
      </c>
      <c r="E2508" s="280">
        <v>69</v>
      </c>
    </row>
    <row r="2509" spans="1:5" x14ac:dyDescent="0.2">
      <c r="A2509" s="228" t="s">
        <v>2710</v>
      </c>
      <c r="B2509" s="298">
        <v>162.93264778599999</v>
      </c>
      <c r="E2509" s="280">
        <v>69</v>
      </c>
    </row>
    <row r="2510" spans="1:5" x14ac:dyDescent="0.2">
      <c r="A2510" s="228" t="s">
        <v>2711</v>
      </c>
      <c r="B2510" s="298">
        <v>163.933450642</v>
      </c>
      <c r="E2510" s="280">
        <v>69</v>
      </c>
    </row>
    <row r="2511" spans="1:5" x14ac:dyDescent="0.2">
      <c r="A2511" s="228" t="s">
        <v>2712</v>
      </c>
      <c r="B2511" s="298">
        <v>164.93243268000001</v>
      </c>
      <c r="E2511" s="280">
        <v>69</v>
      </c>
    </row>
    <row r="2512" spans="1:5" x14ac:dyDescent="0.2">
      <c r="A2512" s="228" t="s">
        <v>2713</v>
      </c>
      <c r="B2512" s="298">
        <v>165.93355391399999</v>
      </c>
      <c r="E2512" s="280">
        <v>69</v>
      </c>
    </row>
    <row r="2513" spans="1:5" x14ac:dyDescent="0.2">
      <c r="A2513" s="228" t="s">
        <v>2714</v>
      </c>
      <c r="B2513" s="298">
        <v>166.93284912999999</v>
      </c>
      <c r="E2513" s="280">
        <v>69</v>
      </c>
    </row>
    <row r="2514" spans="1:5" x14ac:dyDescent="0.2">
      <c r="A2514" s="228" t="s">
        <v>2715</v>
      </c>
      <c r="B2514" s="298">
        <v>167.93417064400001</v>
      </c>
      <c r="E2514" s="280">
        <v>69</v>
      </c>
    </row>
    <row r="2515" spans="1:5" x14ac:dyDescent="0.2">
      <c r="A2515" s="228" t="s">
        <v>2716</v>
      </c>
      <c r="B2515" s="298">
        <v>168.93421138299999</v>
      </c>
      <c r="E2515" s="280">
        <v>69</v>
      </c>
    </row>
    <row r="2516" spans="1:5" x14ac:dyDescent="0.2">
      <c r="A2516" s="228" t="s">
        <v>2717</v>
      </c>
      <c r="B2516" s="298">
        <v>169.935798146</v>
      </c>
      <c r="E2516" s="280">
        <v>69</v>
      </c>
    </row>
    <row r="2517" spans="1:5" x14ac:dyDescent="0.2">
      <c r="A2517" s="228" t="s">
        <v>2718</v>
      </c>
      <c r="B2517" s="298">
        <v>170.93642608799999</v>
      </c>
      <c r="E2517" s="280">
        <v>69</v>
      </c>
    </row>
    <row r="2518" spans="1:5" x14ac:dyDescent="0.2">
      <c r="A2518" s="228" t="s">
        <v>2719</v>
      </c>
      <c r="B2518" s="298">
        <v>171.938396436</v>
      </c>
      <c r="E2518" s="280">
        <v>69</v>
      </c>
    </row>
    <row r="2519" spans="1:5" x14ac:dyDescent="0.2">
      <c r="A2519" s="228" t="s">
        <v>2720</v>
      </c>
      <c r="B2519" s="298">
        <v>172.93960059299999</v>
      </c>
      <c r="E2519" s="280">
        <v>69</v>
      </c>
    </row>
    <row r="2520" spans="1:5" x14ac:dyDescent="0.2">
      <c r="A2520" s="228" t="s">
        <v>2721</v>
      </c>
      <c r="B2520" s="298">
        <v>173.942164886</v>
      </c>
      <c r="E2520" s="280">
        <v>69</v>
      </c>
    </row>
    <row r="2521" spans="1:5" x14ac:dyDescent="0.2">
      <c r="A2521" s="228" t="s">
        <v>2722</v>
      </c>
      <c r="B2521" s="298">
        <v>174.94383316599999</v>
      </c>
      <c r="E2521" s="280">
        <v>69</v>
      </c>
    </row>
    <row r="2522" spans="1:5" x14ac:dyDescent="0.2">
      <c r="A2522" s="228" t="s">
        <v>2723</v>
      </c>
      <c r="B2522" s="298">
        <v>175.94673399999999</v>
      </c>
      <c r="E2522" s="280">
        <v>69</v>
      </c>
    </row>
    <row r="2523" spans="1:5" x14ac:dyDescent="0.2">
      <c r="A2523" s="228" t="s">
        <v>2724</v>
      </c>
      <c r="B2523" s="298">
        <v>176.94868</v>
      </c>
      <c r="E2523" s="280">
        <v>69</v>
      </c>
    </row>
    <row r="2524" spans="1:5" x14ac:dyDescent="0.2">
      <c r="A2524" s="287" t="s">
        <v>2725</v>
      </c>
      <c r="B2524" s="299">
        <v>238.029</v>
      </c>
      <c r="C2524" s="293">
        <v>4470000000</v>
      </c>
      <c r="D2524" s="288" t="s">
        <v>249</v>
      </c>
      <c r="E2524" s="288">
        <v>92</v>
      </c>
    </row>
    <row r="2525" spans="1:5" x14ac:dyDescent="0.2">
      <c r="A2525" s="228" t="s">
        <v>2726</v>
      </c>
      <c r="B2525" s="298">
        <v>218.02348699999999</v>
      </c>
      <c r="E2525" s="280">
        <v>92</v>
      </c>
    </row>
    <row r="2526" spans="1:5" x14ac:dyDescent="0.2">
      <c r="A2526" s="228" t="s">
        <v>2727</v>
      </c>
      <c r="B2526" s="298">
        <v>219.024957</v>
      </c>
      <c r="E2526" s="280">
        <v>92</v>
      </c>
    </row>
    <row r="2527" spans="1:5" x14ac:dyDescent="0.2">
      <c r="A2527" s="228" t="s">
        <v>2728</v>
      </c>
      <c r="B2527" s="298">
        <v>220.024711</v>
      </c>
      <c r="E2527" s="280">
        <v>92</v>
      </c>
    </row>
    <row r="2528" spans="1:5" x14ac:dyDescent="0.2">
      <c r="A2528" s="228" t="s">
        <v>2729</v>
      </c>
      <c r="B2528" s="298">
        <v>221.02634900000001</v>
      </c>
      <c r="E2528" s="280">
        <v>92</v>
      </c>
    </row>
    <row r="2529" spans="1:5" x14ac:dyDescent="0.2">
      <c r="A2529" s="228" t="s">
        <v>2730</v>
      </c>
      <c r="B2529" s="298">
        <v>222.02606900000001</v>
      </c>
      <c r="E2529" s="280">
        <v>92</v>
      </c>
    </row>
    <row r="2530" spans="1:5" x14ac:dyDescent="0.2">
      <c r="A2530" s="228" t="s">
        <v>2731</v>
      </c>
      <c r="B2530" s="298">
        <v>223.027722861</v>
      </c>
      <c r="E2530" s="280">
        <v>92</v>
      </c>
    </row>
    <row r="2531" spans="1:5" x14ac:dyDescent="0.2">
      <c r="A2531" s="228" t="s">
        <v>2732</v>
      </c>
      <c r="B2531" s="298">
        <v>224.02758975099999</v>
      </c>
      <c r="E2531" s="280">
        <v>92</v>
      </c>
    </row>
    <row r="2532" spans="1:5" x14ac:dyDescent="0.2">
      <c r="A2532" s="228" t="s">
        <v>2733</v>
      </c>
      <c r="B2532" s="298">
        <v>225.029383994</v>
      </c>
      <c r="E2532" s="280">
        <v>92</v>
      </c>
    </row>
    <row r="2533" spans="1:5" x14ac:dyDescent="0.2">
      <c r="A2533" s="228" t="s">
        <v>2734</v>
      </c>
      <c r="B2533" s="298">
        <v>226.02933048700001</v>
      </c>
      <c r="E2533" s="280">
        <v>92</v>
      </c>
    </row>
    <row r="2534" spans="1:5" x14ac:dyDescent="0.2">
      <c r="A2534" s="228" t="s">
        <v>2735</v>
      </c>
      <c r="B2534" s="298">
        <v>227.03113181099999</v>
      </c>
      <c r="E2534" s="280">
        <v>92</v>
      </c>
    </row>
    <row r="2535" spans="1:5" x14ac:dyDescent="0.2">
      <c r="A2535" s="228" t="s">
        <v>2736</v>
      </c>
      <c r="B2535" s="298">
        <v>228.03136612</v>
      </c>
      <c r="E2535" s="280">
        <v>92</v>
      </c>
    </row>
    <row r="2536" spans="1:5" x14ac:dyDescent="0.2">
      <c r="A2536" s="228" t="s">
        <v>2737</v>
      </c>
      <c r="B2536" s="298">
        <v>229.03349880600001</v>
      </c>
      <c r="E2536" s="280">
        <v>92</v>
      </c>
    </row>
    <row r="2537" spans="1:5" x14ac:dyDescent="0.2">
      <c r="A2537" s="228" t="s">
        <v>2738</v>
      </c>
      <c r="B2537" s="298">
        <v>230.03392727900001</v>
      </c>
      <c r="E2537" s="280">
        <v>92</v>
      </c>
    </row>
    <row r="2538" spans="1:5" x14ac:dyDescent="0.2">
      <c r="A2538" s="228" t="s">
        <v>2739</v>
      </c>
      <c r="B2538" s="298">
        <v>231.03626186299999</v>
      </c>
      <c r="E2538" s="280">
        <v>92</v>
      </c>
    </row>
    <row r="2539" spans="1:5" x14ac:dyDescent="0.2">
      <c r="A2539" s="228" t="s">
        <v>2740</v>
      </c>
      <c r="B2539" s="298">
        <v>232.037145915</v>
      </c>
      <c r="C2539" s="280">
        <v>70</v>
      </c>
      <c r="D2539" s="280" t="s">
        <v>249</v>
      </c>
      <c r="E2539" s="280">
        <v>92</v>
      </c>
    </row>
    <row r="2540" spans="1:5" x14ac:dyDescent="0.2">
      <c r="A2540" s="228" t="s">
        <v>2741</v>
      </c>
      <c r="B2540" s="298">
        <v>233.03962681600001</v>
      </c>
      <c r="C2540" s="282">
        <v>159200</v>
      </c>
      <c r="D2540" s="280" t="s">
        <v>249</v>
      </c>
      <c r="E2540" s="280">
        <v>92</v>
      </c>
    </row>
    <row r="2541" spans="1:5" x14ac:dyDescent="0.2">
      <c r="A2541" s="228" t="s">
        <v>2742</v>
      </c>
      <c r="B2541" s="298">
        <v>234.04094469399999</v>
      </c>
      <c r="C2541" s="282">
        <v>246000</v>
      </c>
      <c r="D2541" s="280" t="s">
        <v>249</v>
      </c>
      <c r="E2541" s="280">
        <v>92</v>
      </c>
    </row>
    <row r="2542" spans="1:5" x14ac:dyDescent="0.2">
      <c r="A2542" s="228" t="s">
        <v>2743</v>
      </c>
      <c r="B2542" s="298">
        <v>235.04392215199999</v>
      </c>
      <c r="C2542" s="282">
        <v>704000000</v>
      </c>
      <c r="D2542" s="280" t="s">
        <v>249</v>
      </c>
      <c r="E2542" s="280">
        <v>92</v>
      </c>
    </row>
    <row r="2543" spans="1:5" x14ac:dyDescent="0.2">
      <c r="A2543" s="228" t="s">
        <v>2744</v>
      </c>
      <c r="B2543" s="298">
        <v>236.04556098800001</v>
      </c>
      <c r="C2543" s="282">
        <v>23420000</v>
      </c>
      <c r="D2543" s="280" t="s">
        <v>249</v>
      </c>
      <c r="E2543" s="280">
        <v>92</v>
      </c>
    </row>
    <row r="2544" spans="1:5" x14ac:dyDescent="0.2">
      <c r="A2544" s="228" t="s">
        <v>2745</v>
      </c>
      <c r="B2544" s="298">
        <v>237.04872304599999</v>
      </c>
      <c r="C2544" s="280">
        <v>6.75</v>
      </c>
      <c r="D2544" s="280" t="s">
        <v>192</v>
      </c>
      <c r="E2544" s="280">
        <v>92</v>
      </c>
    </row>
    <row r="2545" spans="1:5" x14ac:dyDescent="0.2">
      <c r="A2545" s="228" t="s">
        <v>2746</v>
      </c>
      <c r="B2545" s="298">
        <v>238.050783524</v>
      </c>
      <c r="C2545" s="282">
        <v>4470000000</v>
      </c>
      <c r="D2545" s="280" t="s">
        <v>249</v>
      </c>
      <c r="E2545" s="280">
        <v>92</v>
      </c>
    </row>
    <row r="2546" spans="1:5" x14ac:dyDescent="0.2">
      <c r="A2546" s="228" t="s">
        <v>2747</v>
      </c>
      <c r="B2546" s="298">
        <v>239.054288719</v>
      </c>
      <c r="C2546" s="280">
        <v>23.5</v>
      </c>
      <c r="D2546" s="280" t="s">
        <v>218</v>
      </c>
      <c r="E2546" s="280">
        <v>92</v>
      </c>
    </row>
    <row r="2547" spans="1:5" x14ac:dyDescent="0.2">
      <c r="A2547" s="228" t="s">
        <v>2748</v>
      </c>
      <c r="B2547" s="298">
        <v>240.056584773</v>
      </c>
      <c r="E2547" s="280">
        <v>92</v>
      </c>
    </row>
    <row r="2548" spans="1:5" x14ac:dyDescent="0.2">
      <c r="A2548" s="287" t="s">
        <v>2749</v>
      </c>
      <c r="B2548" s="299">
        <v>50.941499999999998</v>
      </c>
      <c r="C2548" s="288">
        <v>0</v>
      </c>
      <c r="D2548" s="288">
        <v>0</v>
      </c>
      <c r="E2548" s="288">
        <v>23</v>
      </c>
    </row>
    <row r="2549" spans="1:5" x14ac:dyDescent="0.2">
      <c r="A2549" s="228" t="s">
        <v>2750</v>
      </c>
      <c r="B2549" s="298">
        <v>40.011090000000003</v>
      </c>
      <c r="E2549" s="280">
        <v>23</v>
      </c>
    </row>
    <row r="2550" spans="1:5" x14ac:dyDescent="0.2">
      <c r="A2550" s="228" t="s">
        <v>2751</v>
      </c>
      <c r="B2550" s="298">
        <v>40.999740000000003</v>
      </c>
      <c r="E2550" s="280">
        <v>23</v>
      </c>
    </row>
    <row r="2551" spans="1:5" x14ac:dyDescent="0.2">
      <c r="A2551" s="228" t="s">
        <v>2752</v>
      </c>
      <c r="B2551" s="298">
        <v>41.991230000000002</v>
      </c>
      <c r="E2551" s="280">
        <v>23</v>
      </c>
    </row>
    <row r="2552" spans="1:5" x14ac:dyDescent="0.2">
      <c r="A2552" s="228" t="s">
        <v>2753</v>
      </c>
      <c r="B2552" s="298">
        <v>42.980649999999997</v>
      </c>
      <c r="E2552" s="280">
        <v>23</v>
      </c>
    </row>
    <row r="2553" spans="1:5" x14ac:dyDescent="0.2">
      <c r="A2553" s="228" t="s">
        <v>2754</v>
      </c>
      <c r="B2553" s="298">
        <v>43.974400000000003</v>
      </c>
      <c r="E2553" s="280">
        <v>23</v>
      </c>
    </row>
    <row r="2554" spans="1:5" x14ac:dyDescent="0.2">
      <c r="A2554" s="228" t="s">
        <v>2755</v>
      </c>
      <c r="B2554" s="298">
        <v>44.965782156000003</v>
      </c>
      <c r="E2554" s="280">
        <v>23</v>
      </c>
    </row>
    <row r="2555" spans="1:5" x14ac:dyDescent="0.2">
      <c r="A2555" s="228" t="s">
        <v>2756</v>
      </c>
      <c r="B2555" s="298">
        <v>45.960199455000001</v>
      </c>
      <c r="E2555" s="280">
        <v>23</v>
      </c>
    </row>
    <row r="2556" spans="1:5" x14ac:dyDescent="0.2">
      <c r="A2556" s="228" t="s">
        <v>2757</v>
      </c>
      <c r="B2556" s="298">
        <v>46.954906880999999</v>
      </c>
      <c r="E2556" s="280">
        <v>23</v>
      </c>
    </row>
    <row r="2557" spans="1:5" x14ac:dyDescent="0.2">
      <c r="A2557" s="228" t="s">
        <v>2758</v>
      </c>
      <c r="B2557" s="298">
        <v>47.952254426000003</v>
      </c>
      <c r="E2557" s="280">
        <v>23</v>
      </c>
    </row>
    <row r="2558" spans="1:5" x14ac:dyDescent="0.2">
      <c r="A2558" s="228" t="s">
        <v>2759</v>
      </c>
      <c r="B2558" s="298">
        <v>48.948516859999998</v>
      </c>
      <c r="E2558" s="280">
        <v>23</v>
      </c>
    </row>
    <row r="2559" spans="1:5" x14ac:dyDescent="0.2">
      <c r="A2559" s="228" t="s">
        <v>2760</v>
      </c>
      <c r="B2559" s="298">
        <v>49.947162665</v>
      </c>
      <c r="E2559" s="280">
        <v>23</v>
      </c>
    </row>
    <row r="2560" spans="1:5" x14ac:dyDescent="0.2">
      <c r="A2560" s="228" t="s">
        <v>2761</v>
      </c>
      <c r="B2560" s="298">
        <v>50.943963547999999</v>
      </c>
      <c r="E2560" s="280">
        <v>23</v>
      </c>
    </row>
    <row r="2561" spans="1:5" x14ac:dyDescent="0.2">
      <c r="A2561" s="228" t="s">
        <v>2762</v>
      </c>
      <c r="B2561" s="298">
        <v>51.944779531999998</v>
      </c>
      <c r="E2561" s="280">
        <v>23</v>
      </c>
    </row>
    <row r="2562" spans="1:5" x14ac:dyDescent="0.2">
      <c r="A2562" s="228" t="s">
        <v>2763</v>
      </c>
      <c r="B2562" s="298">
        <v>52.944342153000001</v>
      </c>
      <c r="E2562" s="280">
        <v>23</v>
      </c>
    </row>
    <row r="2563" spans="1:5" x14ac:dyDescent="0.2">
      <c r="A2563" s="228" t="s">
        <v>2764</v>
      </c>
      <c r="B2563" s="298">
        <v>53.946444018000001</v>
      </c>
      <c r="E2563" s="280">
        <v>23</v>
      </c>
    </row>
    <row r="2564" spans="1:5" x14ac:dyDescent="0.2">
      <c r="A2564" s="228" t="s">
        <v>2765</v>
      </c>
      <c r="B2564" s="298">
        <v>54.947237831000002</v>
      </c>
      <c r="E2564" s="280">
        <v>23</v>
      </c>
    </row>
    <row r="2565" spans="1:5" x14ac:dyDescent="0.2">
      <c r="A2565" s="228" t="s">
        <v>2766</v>
      </c>
      <c r="B2565" s="298">
        <v>55.950448332000001</v>
      </c>
      <c r="E2565" s="280">
        <v>23</v>
      </c>
    </row>
    <row r="2566" spans="1:5" x14ac:dyDescent="0.2">
      <c r="A2566" s="228" t="s">
        <v>2767</v>
      </c>
      <c r="B2566" s="298">
        <v>56.952466422999997</v>
      </c>
      <c r="E2566" s="280">
        <v>23</v>
      </c>
    </row>
    <row r="2567" spans="1:5" x14ac:dyDescent="0.2">
      <c r="A2567" s="228" t="s">
        <v>2768</v>
      </c>
      <c r="B2567" s="298">
        <v>57.956719999999997</v>
      </c>
      <c r="E2567" s="280">
        <v>23</v>
      </c>
    </row>
    <row r="2568" spans="1:5" x14ac:dyDescent="0.2">
      <c r="A2568" s="228" t="s">
        <v>2769</v>
      </c>
      <c r="B2568" s="298">
        <v>58.959299999999999</v>
      </c>
      <c r="E2568" s="280">
        <v>23</v>
      </c>
    </row>
    <row r="2569" spans="1:5" x14ac:dyDescent="0.2">
      <c r="A2569" s="228" t="s">
        <v>2770</v>
      </c>
      <c r="B2569" s="298">
        <v>59.964500000000001</v>
      </c>
      <c r="E2569" s="280">
        <v>23</v>
      </c>
    </row>
    <row r="2570" spans="1:5" x14ac:dyDescent="0.2">
      <c r="A2570" s="287" t="s">
        <v>2771</v>
      </c>
      <c r="B2570" s="299">
        <v>183.85</v>
      </c>
      <c r="C2570" s="288">
        <v>0</v>
      </c>
      <c r="D2570" s="288">
        <v>0</v>
      </c>
      <c r="E2570" s="288">
        <v>74</v>
      </c>
    </row>
    <row r="2571" spans="1:5" x14ac:dyDescent="0.2">
      <c r="A2571" s="228" t="s">
        <v>2772</v>
      </c>
      <c r="B2571" s="298">
        <v>157.973939</v>
      </c>
      <c r="E2571" s="280">
        <v>74</v>
      </c>
    </row>
    <row r="2572" spans="1:5" x14ac:dyDescent="0.2">
      <c r="A2572" s="228" t="s">
        <v>2773</v>
      </c>
      <c r="B2572" s="298">
        <v>158.97228000000001</v>
      </c>
      <c r="E2572" s="280">
        <v>74</v>
      </c>
    </row>
    <row r="2573" spans="1:5" x14ac:dyDescent="0.2">
      <c r="A2573" s="228" t="s">
        <v>2774</v>
      </c>
      <c r="B2573" s="298">
        <v>159.968369</v>
      </c>
      <c r="E2573" s="280">
        <v>74</v>
      </c>
    </row>
    <row r="2574" spans="1:5" x14ac:dyDescent="0.2">
      <c r="A2574" s="228" t="s">
        <v>2775</v>
      </c>
      <c r="B2574" s="298">
        <v>160.96708899999999</v>
      </c>
      <c r="E2574" s="280">
        <v>74</v>
      </c>
    </row>
    <row r="2575" spans="1:5" x14ac:dyDescent="0.2">
      <c r="A2575" s="228" t="s">
        <v>2776</v>
      </c>
      <c r="B2575" s="298">
        <v>161.96334300000001</v>
      </c>
      <c r="E2575" s="280">
        <v>74</v>
      </c>
    </row>
    <row r="2576" spans="1:5" x14ac:dyDescent="0.2">
      <c r="A2576" s="228" t="s">
        <v>2777</v>
      </c>
      <c r="B2576" s="298">
        <v>162.96236200000001</v>
      </c>
      <c r="E2576" s="280">
        <v>74</v>
      </c>
    </row>
    <row r="2577" spans="1:5" x14ac:dyDescent="0.2">
      <c r="A2577" s="228" t="s">
        <v>2778</v>
      </c>
      <c r="B2577" s="298">
        <v>163.95890351599999</v>
      </c>
      <c r="E2577" s="280">
        <v>74</v>
      </c>
    </row>
    <row r="2578" spans="1:5" x14ac:dyDescent="0.2">
      <c r="A2578" s="228" t="s">
        <v>2779</v>
      </c>
      <c r="B2578" s="298">
        <v>164.95833730000001</v>
      </c>
      <c r="E2578" s="280">
        <v>74</v>
      </c>
    </row>
    <row r="2579" spans="1:5" x14ac:dyDescent="0.2">
      <c r="A2579" s="228" t="s">
        <v>2780</v>
      </c>
      <c r="B2579" s="298">
        <v>165.95502099500001</v>
      </c>
      <c r="E2579" s="280">
        <v>74</v>
      </c>
    </row>
    <row r="2580" spans="1:5" x14ac:dyDescent="0.2">
      <c r="A2580" s="228" t="s">
        <v>2781</v>
      </c>
      <c r="B2580" s="298">
        <v>166.95466999999999</v>
      </c>
      <c r="E2580" s="280">
        <v>74</v>
      </c>
    </row>
    <row r="2581" spans="1:5" x14ac:dyDescent="0.2">
      <c r="A2581" s="228" t="s">
        <v>2782</v>
      </c>
      <c r="B2581" s="298">
        <v>167.951863</v>
      </c>
      <c r="E2581" s="280">
        <v>74</v>
      </c>
    </row>
    <row r="2582" spans="1:5" x14ac:dyDescent="0.2">
      <c r="A2582" s="228" t="s">
        <v>2783</v>
      </c>
      <c r="B2582" s="298">
        <v>168.95175900000001</v>
      </c>
      <c r="E2582" s="280">
        <v>74</v>
      </c>
    </row>
    <row r="2583" spans="1:5" x14ac:dyDescent="0.2">
      <c r="A2583" s="228" t="s">
        <v>2784</v>
      </c>
      <c r="B2583" s="298">
        <v>169.949288</v>
      </c>
      <c r="E2583" s="280">
        <v>74</v>
      </c>
    </row>
    <row r="2584" spans="1:5" x14ac:dyDescent="0.2">
      <c r="A2584" s="228" t="s">
        <v>2785</v>
      </c>
      <c r="B2584" s="298">
        <v>170.94936999999999</v>
      </c>
      <c r="E2584" s="280">
        <v>74</v>
      </c>
    </row>
    <row r="2585" spans="1:5" x14ac:dyDescent="0.2">
      <c r="A2585" s="228" t="s">
        <v>2786</v>
      </c>
      <c r="B2585" s="298">
        <v>171.94742400000001</v>
      </c>
      <c r="E2585" s="280">
        <v>74</v>
      </c>
    </row>
    <row r="2586" spans="1:5" x14ac:dyDescent="0.2">
      <c r="A2586" s="228" t="s">
        <v>2787</v>
      </c>
      <c r="B2586" s="298">
        <v>172.94793899999999</v>
      </c>
      <c r="E2586" s="280">
        <v>74</v>
      </c>
    </row>
    <row r="2587" spans="1:5" x14ac:dyDescent="0.2">
      <c r="A2587" s="228" t="s">
        <v>2788</v>
      </c>
      <c r="B2587" s="298">
        <v>173.94615999999999</v>
      </c>
      <c r="E2587" s="280">
        <v>74</v>
      </c>
    </row>
    <row r="2588" spans="1:5" x14ac:dyDescent="0.2">
      <c r="A2588" s="228" t="s">
        <v>2789</v>
      </c>
      <c r="B2588" s="298">
        <v>174.94676999999999</v>
      </c>
      <c r="E2588" s="280">
        <v>74</v>
      </c>
    </row>
    <row r="2589" spans="1:5" x14ac:dyDescent="0.2">
      <c r="A2589" s="228" t="s">
        <v>2790</v>
      </c>
      <c r="B2589" s="298">
        <v>175.94559000000001</v>
      </c>
      <c r="E2589" s="280">
        <v>74</v>
      </c>
    </row>
    <row r="2590" spans="1:5" x14ac:dyDescent="0.2">
      <c r="A2590" s="228" t="s">
        <v>2791</v>
      </c>
      <c r="B2590" s="298">
        <v>176.94662</v>
      </c>
      <c r="E2590" s="280">
        <v>74</v>
      </c>
    </row>
    <row r="2591" spans="1:5" x14ac:dyDescent="0.2">
      <c r="A2591" s="228" t="s">
        <v>2792</v>
      </c>
      <c r="B2591" s="298">
        <v>177.945848727</v>
      </c>
      <c r="E2591" s="280">
        <v>74</v>
      </c>
    </row>
    <row r="2592" spans="1:5" x14ac:dyDescent="0.2">
      <c r="A2592" s="228" t="s">
        <v>2793</v>
      </c>
      <c r="B2592" s="298">
        <v>178.94707153600001</v>
      </c>
      <c r="E2592" s="280">
        <v>74</v>
      </c>
    </row>
    <row r="2593" spans="1:5" x14ac:dyDescent="0.2">
      <c r="A2593" s="228" t="s">
        <v>2794</v>
      </c>
      <c r="B2593" s="298">
        <v>179.94670553700001</v>
      </c>
      <c r="E2593" s="280">
        <v>74</v>
      </c>
    </row>
    <row r="2594" spans="1:5" x14ac:dyDescent="0.2">
      <c r="A2594" s="228" t="s">
        <v>2795</v>
      </c>
      <c r="B2594" s="298">
        <v>180.94819790400001</v>
      </c>
      <c r="E2594" s="280">
        <v>74</v>
      </c>
    </row>
    <row r="2595" spans="1:5" x14ac:dyDescent="0.2">
      <c r="A2595" s="228" t="s">
        <v>2796</v>
      </c>
      <c r="B2595" s="298">
        <v>181.94820530999999</v>
      </c>
      <c r="E2595" s="280">
        <v>74</v>
      </c>
    </row>
    <row r="2596" spans="1:5" x14ac:dyDescent="0.2">
      <c r="A2596" s="228" t="s">
        <v>2797</v>
      </c>
      <c r="B2596" s="298">
        <v>182.95022423500001</v>
      </c>
      <c r="E2596" s="280">
        <v>74</v>
      </c>
    </row>
    <row r="2597" spans="1:5" x14ac:dyDescent="0.2">
      <c r="A2597" s="228" t="s">
        <v>2798</v>
      </c>
      <c r="B2597" s="298">
        <v>183.95093232799999</v>
      </c>
      <c r="E2597" s="280">
        <v>74</v>
      </c>
    </row>
    <row r="2598" spans="1:5" x14ac:dyDescent="0.2">
      <c r="A2598" s="228" t="s">
        <v>2799</v>
      </c>
      <c r="B2598" s="298">
        <v>184.95342035900001</v>
      </c>
      <c r="E2598" s="280">
        <v>74</v>
      </c>
    </row>
    <row r="2599" spans="1:5" x14ac:dyDescent="0.2">
      <c r="A2599" s="228" t="s">
        <v>2800</v>
      </c>
      <c r="B2599" s="298">
        <v>185.95436190999999</v>
      </c>
      <c r="E2599" s="280">
        <v>74</v>
      </c>
    </row>
    <row r="2600" spans="1:5" x14ac:dyDescent="0.2">
      <c r="A2600" s="228" t="s">
        <v>2801</v>
      </c>
      <c r="B2600" s="298">
        <v>186.95715807100001</v>
      </c>
      <c r="E2600" s="280">
        <v>74</v>
      </c>
    </row>
    <row r="2601" spans="1:5" x14ac:dyDescent="0.2">
      <c r="A2601" s="228" t="s">
        <v>2802</v>
      </c>
      <c r="B2601" s="298">
        <v>187.95848663199999</v>
      </c>
      <c r="E2601" s="280">
        <v>74</v>
      </c>
    </row>
    <row r="2602" spans="1:5" x14ac:dyDescent="0.2">
      <c r="A2602" s="228" t="s">
        <v>2803</v>
      </c>
      <c r="B2602" s="298">
        <v>188.96191184899999</v>
      </c>
      <c r="E2602" s="280">
        <v>74</v>
      </c>
    </row>
    <row r="2603" spans="1:5" x14ac:dyDescent="0.2">
      <c r="A2603" s="228" t="s">
        <v>2804</v>
      </c>
      <c r="B2603" s="298">
        <v>189.963190537</v>
      </c>
      <c r="E2603" s="280">
        <v>74</v>
      </c>
    </row>
    <row r="2604" spans="1:5" x14ac:dyDescent="0.2">
      <c r="A2604" s="287" t="s">
        <v>2805</v>
      </c>
      <c r="B2604" s="299">
        <v>131.30000000000001</v>
      </c>
      <c r="C2604" s="288">
        <v>0</v>
      </c>
      <c r="D2604" s="288">
        <v>0</v>
      </c>
      <c r="E2604" s="288">
        <v>54</v>
      </c>
    </row>
    <row r="2605" spans="1:5" x14ac:dyDescent="0.2">
      <c r="A2605" s="228" t="s">
        <v>2806</v>
      </c>
      <c r="B2605" s="298">
        <v>109.944509</v>
      </c>
      <c r="E2605" s="280">
        <v>54</v>
      </c>
    </row>
    <row r="2606" spans="1:5" x14ac:dyDescent="0.2">
      <c r="A2606" s="228" t="s">
        <v>2807</v>
      </c>
      <c r="B2606" s="298">
        <v>110.94162</v>
      </c>
      <c r="E2606" s="280">
        <v>54</v>
      </c>
    </row>
    <row r="2607" spans="1:5" x14ac:dyDescent="0.2">
      <c r="A2607" s="228" t="s">
        <v>2808</v>
      </c>
      <c r="B2607" s="298">
        <v>111.935647796</v>
      </c>
      <c r="E2607" s="280">
        <v>54</v>
      </c>
    </row>
    <row r="2608" spans="1:5" x14ac:dyDescent="0.2">
      <c r="A2608" s="228" t="s">
        <v>2809</v>
      </c>
      <c r="B2608" s="298">
        <v>112.933374292</v>
      </c>
      <c r="E2608" s="280">
        <v>54</v>
      </c>
    </row>
    <row r="2609" spans="1:5" x14ac:dyDescent="0.2">
      <c r="A2609" s="228" t="s">
        <v>2810</v>
      </c>
      <c r="B2609" s="298">
        <v>113.92814199999999</v>
      </c>
      <c r="E2609" s="280">
        <v>54</v>
      </c>
    </row>
    <row r="2610" spans="1:5" x14ac:dyDescent="0.2">
      <c r="A2610" s="228" t="s">
        <v>2811</v>
      </c>
      <c r="B2610" s="298">
        <v>114.92652200000001</v>
      </c>
      <c r="E2610" s="280">
        <v>54</v>
      </c>
    </row>
    <row r="2611" spans="1:5" x14ac:dyDescent="0.2">
      <c r="A2611" s="228" t="s">
        <v>2812</v>
      </c>
      <c r="B2611" s="298">
        <v>115.921727</v>
      </c>
      <c r="E2611" s="280">
        <v>54</v>
      </c>
    </row>
    <row r="2612" spans="1:5" x14ac:dyDescent="0.2">
      <c r="A2612" s="228" t="s">
        <v>2813</v>
      </c>
      <c r="B2612" s="298">
        <v>116.920551831</v>
      </c>
      <c r="E2612" s="280">
        <v>54</v>
      </c>
    </row>
    <row r="2613" spans="1:5" x14ac:dyDescent="0.2">
      <c r="A2613" s="228" t="s">
        <v>2814</v>
      </c>
      <c r="B2613" s="298">
        <v>117.916555475</v>
      </c>
      <c r="E2613" s="280">
        <v>54</v>
      </c>
    </row>
    <row r="2614" spans="1:5" x14ac:dyDescent="0.2">
      <c r="A2614" s="228" t="s">
        <v>2815</v>
      </c>
      <c r="B2614" s="298">
        <v>118.915551115</v>
      </c>
      <c r="E2614" s="280">
        <v>54</v>
      </c>
    </row>
    <row r="2615" spans="1:5" x14ac:dyDescent="0.2">
      <c r="A2615" s="228" t="s">
        <v>2816</v>
      </c>
      <c r="B2615" s="298">
        <v>119.91215845400001</v>
      </c>
      <c r="E2615" s="280">
        <v>54</v>
      </c>
    </row>
    <row r="2616" spans="1:5" x14ac:dyDescent="0.2">
      <c r="A2616" s="228" t="s">
        <v>2817</v>
      </c>
      <c r="B2616" s="298">
        <v>120.911379384</v>
      </c>
      <c r="E2616" s="280">
        <v>54</v>
      </c>
    </row>
    <row r="2617" spans="1:5" x14ac:dyDescent="0.2">
      <c r="A2617" s="228" t="s">
        <v>2818</v>
      </c>
      <c r="B2617" s="298">
        <v>121.908561464</v>
      </c>
      <c r="E2617" s="280">
        <v>54</v>
      </c>
    </row>
    <row r="2618" spans="1:5" x14ac:dyDescent="0.2">
      <c r="A2618" s="228" t="s">
        <v>2819</v>
      </c>
      <c r="B2618" s="298">
        <v>122.908477382</v>
      </c>
      <c r="E2618" s="280">
        <v>54</v>
      </c>
    </row>
    <row r="2619" spans="1:5" x14ac:dyDescent="0.2">
      <c r="A2619" s="228" t="s">
        <v>2820</v>
      </c>
      <c r="B2619" s="298">
        <v>123.905895442</v>
      </c>
      <c r="E2619" s="280">
        <v>54</v>
      </c>
    </row>
    <row r="2620" spans="1:5" x14ac:dyDescent="0.2">
      <c r="A2620" s="228" t="s">
        <v>2821</v>
      </c>
      <c r="B2620" s="298">
        <v>124.906397899</v>
      </c>
      <c r="E2620" s="280">
        <v>54</v>
      </c>
    </row>
    <row r="2621" spans="1:5" x14ac:dyDescent="0.2">
      <c r="A2621" s="228" t="s">
        <v>2822</v>
      </c>
      <c r="B2621" s="298">
        <v>125.904268187</v>
      </c>
      <c r="E2621" s="280">
        <v>54</v>
      </c>
    </row>
    <row r="2622" spans="1:5" x14ac:dyDescent="0.2">
      <c r="A2622" s="228" t="s">
        <v>2823</v>
      </c>
      <c r="B2622" s="298">
        <v>126.905178752</v>
      </c>
      <c r="E2622" s="280">
        <v>54</v>
      </c>
    </row>
    <row r="2623" spans="1:5" x14ac:dyDescent="0.2">
      <c r="A2623" s="228" t="s">
        <v>2824</v>
      </c>
      <c r="B2623" s="298">
        <v>127.903530547</v>
      </c>
      <c r="E2623" s="280">
        <v>54</v>
      </c>
    </row>
    <row r="2624" spans="1:5" x14ac:dyDescent="0.2">
      <c r="A2624" s="228" t="s">
        <v>2825</v>
      </c>
      <c r="B2624" s="298">
        <v>128.90477988000001</v>
      </c>
      <c r="E2624" s="280">
        <v>54</v>
      </c>
    </row>
    <row r="2625" spans="1:5" x14ac:dyDescent="0.2">
      <c r="A2625" s="228" t="s">
        <v>2826</v>
      </c>
      <c r="B2625" s="298">
        <v>129.90350890600001</v>
      </c>
      <c r="E2625" s="280">
        <v>54</v>
      </c>
    </row>
    <row r="2626" spans="1:5" x14ac:dyDescent="0.2">
      <c r="A2626" s="228" t="s">
        <v>2827</v>
      </c>
      <c r="B2626" s="298">
        <v>130.90508283700001</v>
      </c>
      <c r="E2626" s="280">
        <v>54</v>
      </c>
    </row>
    <row r="2627" spans="1:5" x14ac:dyDescent="0.2">
      <c r="A2627" s="228" t="s">
        <v>2828</v>
      </c>
      <c r="B2627" s="298">
        <v>131.9041546</v>
      </c>
      <c r="E2627" s="280">
        <v>54</v>
      </c>
    </row>
    <row r="2628" spans="1:5" x14ac:dyDescent="0.2">
      <c r="A2628" s="228" t="s">
        <v>2829</v>
      </c>
      <c r="B2628" s="298">
        <v>132.90590594899999</v>
      </c>
      <c r="E2628" s="280">
        <v>54</v>
      </c>
    </row>
    <row r="2629" spans="1:5" x14ac:dyDescent="0.2">
      <c r="A2629" s="228" t="s">
        <v>2830</v>
      </c>
      <c r="B2629" s="298">
        <v>133.905394495</v>
      </c>
      <c r="E2629" s="280">
        <v>54</v>
      </c>
    </row>
    <row r="2630" spans="1:5" x14ac:dyDescent="0.2">
      <c r="A2630" s="228" t="s">
        <v>2831</v>
      </c>
      <c r="B2630" s="298">
        <v>134.907207798</v>
      </c>
      <c r="E2630" s="280">
        <v>54</v>
      </c>
    </row>
    <row r="2631" spans="1:5" x14ac:dyDescent="0.2">
      <c r="A2631" s="228" t="s">
        <v>2832</v>
      </c>
      <c r="B2631" s="298">
        <v>135.90721990599999</v>
      </c>
      <c r="E2631" s="280">
        <v>54</v>
      </c>
    </row>
    <row r="2632" spans="1:5" x14ac:dyDescent="0.2">
      <c r="A2632" s="228" t="s">
        <v>2833</v>
      </c>
      <c r="B2632" s="298">
        <v>136.91156331900001</v>
      </c>
      <c r="E2632" s="280">
        <v>54</v>
      </c>
    </row>
    <row r="2633" spans="1:5" x14ac:dyDescent="0.2">
      <c r="A2633" s="228" t="s">
        <v>2834</v>
      </c>
      <c r="B2633" s="298">
        <v>137.913988528</v>
      </c>
      <c r="E2633" s="280">
        <v>54</v>
      </c>
    </row>
    <row r="2634" spans="1:5" x14ac:dyDescent="0.2">
      <c r="A2634" s="228" t="s">
        <v>2835</v>
      </c>
      <c r="B2634" s="298">
        <v>138.91878787100001</v>
      </c>
      <c r="E2634" s="280">
        <v>54</v>
      </c>
    </row>
    <row r="2635" spans="1:5" x14ac:dyDescent="0.2">
      <c r="A2635" s="228" t="s">
        <v>2836</v>
      </c>
      <c r="B2635" s="298">
        <v>139.921632192</v>
      </c>
      <c r="E2635" s="280">
        <v>54</v>
      </c>
    </row>
    <row r="2636" spans="1:5" x14ac:dyDescent="0.2">
      <c r="A2636" s="228" t="s">
        <v>2837</v>
      </c>
      <c r="B2636" s="298">
        <v>140.92665424399999</v>
      </c>
      <c r="E2636" s="280">
        <v>54</v>
      </c>
    </row>
    <row r="2637" spans="1:5" x14ac:dyDescent="0.2">
      <c r="A2637" s="228" t="s">
        <v>2838</v>
      </c>
      <c r="B2637" s="298">
        <v>141.929706098</v>
      </c>
      <c r="E2637" s="280">
        <v>54</v>
      </c>
    </row>
    <row r="2638" spans="1:5" x14ac:dyDescent="0.2">
      <c r="A2638" s="228" t="s">
        <v>2839</v>
      </c>
      <c r="B2638" s="298">
        <v>142.93516</v>
      </c>
      <c r="E2638" s="280">
        <v>54</v>
      </c>
    </row>
    <row r="2639" spans="1:5" x14ac:dyDescent="0.2">
      <c r="A2639" s="228" t="s">
        <v>2840</v>
      </c>
      <c r="B2639" s="298">
        <v>143.93853999999999</v>
      </c>
      <c r="E2639" s="280">
        <v>54</v>
      </c>
    </row>
    <row r="2640" spans="1:5" x14ac:dyDescent="0.2">
      <c r="A2640" s="287" t="s">
        <v>2841</v>
      </c>
      <c r="B2640" s="299">
        <v>88.905900000000003</v>
      </c>
      <c r="C2640" s="288">
        <v>0</v>
      </c>
      <c r="D2640" s="288">
        <v>0</v>
      </c>
      <c r="E2640" s="288">
        <v>39</v>
      </c>
    </row>
    <row r="2641" spans="1:5" x14ac:dyDescent="0.2">
      <c r="A2641" s="228" t="s">
        <v>2842</v>
      </c>
      <c r="B2641" s="298">
        <v>99.927755739999995</v>
      </c>
      <c r="E2641" s="280">
        <v>39</v>
      </c>
    </row>
    <row r="2642" spans="1:5" x14ac:dyDescent="0.2">
      <c r="A2642" s="228" t="s">
        <v>2843</v>
      </c>
      <c r="B2642" s="298">
        <v>100.93031273299999</v>
      </c>
      <c r="E2642" s="280">
        <v>39</v>
      </c>
    </row>
    <row r="2643" spans="1:5" x14ac:dyDescent="0.2">
      <c r="A2643" s="228" t="s">
        <v>2844</v>
      </c>
      <c r="B2643" s="298">
        <v>101.933554839</v>
      </c>
      <c r="E2643" s="280">
        <v>39</v>
      </c>
    </row>
    <row r="2644" spans="1:5" x14ac:dyDescent="0.2">
      <c r="A2644" s="228" t="s">
        <v>2845</v>
      </c>
      <c r="B2644" s="298">
        <v>102.9371</v>
      </c>
      <c r="E2644" s="280">
        <v>39</v>
      </c>
    </row>
    <row r="2645" spans="1:5" x14ac:dyDescent="0.2">
      <c r="A2645" s="228" t="s">
        <v>2846</v>
      </c>
      <c r="B2645" s="298">
        <v>103.94105</v>
      </c>
      <c r="E2645" s="280">
        <v>39</v>
      </c>
    </row>
    <row r="2646" spans="1:5" x14ac:dyDescent="0.2">
      <c r="A2646" s="228" t="s">
        <v>2847</v>
      </c>
      <c r="B2646" s="298">
        <v>76.949619999999996</v>
      </c>
      <c r="E2646" s="280">
        <v>39</v>
      </c>
    </row>
    <row r="2647" spans="1:5" x14ac:dyDescent="0.2">
      <c r="A2647" s="228" t="s">
        <v>2848</v>
      </c>
      <c r="B2647" s="298">
        <v>77.9435</v>
      </c>
      <c r="E2647" s="280">
        <v>39</v>
      </c>
    </row>
    <row r="2648" spans="1:5" x14ac:dyDescent="0.2">
      <c r="A2648" s="228" t="s">
        <v>2849</v>
      </c>
      <c r="B2648" s="298">
        <v>78.937353799999997</v>
      </c>
      <c r="E2648" s="280">
        <v>39</v>
      </c>
    </row>
    <row r="2649" spans="1:5" x14ac:dyDescent="0.2">
      <c r="A2649" s="228" t="s">
        <v>2850</v>
      </c>
      <c r="B2649" s="298">
        <v>79.934340000000006</v>
      </c>
      <c r="E2649" s="280">
        <v>39</v>
      </c>
    </row>
    <row r="2650" spans="1:5" x14ac:dyDescent="0.2">
      <c r="A2650" s="228" t="s">
        <v>2851</v>
      </c>
      <c r="B2650" s="298">
        <v>80.929131807000005</v>
      </c>
      <c r="E2650" s="280">
        <v>39</v>
      </c>
    </row>
    <row r="2651" spans="1:5" x14ac:dyDescent="0.2">
      <c r="A2651" s="228" t="s">
        <v>2852</v>
      </c>
      <c r="B2651" s="298">
        <v>81.926794427000004</v>
      </c>
      <c r="E2651" s="280">
        <v>39</v>
      </c>
    </row>
    <row r="2652" spans="1:5" x14ac:dyDescent="0.2">
      <c r="A2652" s="228" t="s">
        <v>2853</v>
      </c>
      <c r="B2652" s="298">
        <v>82.922351274999997</v>
      </c>
      <c r="E2652" s="280">
        <v>39</v>
      </c>
    </row>
    <row r="2653" spans="1:5" x14ac:dyDescent="0.2">
      <c r="A2653" s="228" t="s">
        <v>2854</v>
      </c>
      <c r="B2653" s="298">
        <v>83.920307889</v>
      </c>
      <c r="E2653" s="280">
        <v>39</v>
      </c>
    </row>
    <row r="2654" spans="1:5" x14ac:dyDescent="0.2">
      <c r="A2654" s="228" t="s">
        <v>2855</v>
      </c>
      <c r="B2654" s="298">
        <v>84.916429519999994</v>
      </c>
      <c r="E2654" s="280">
        <v>39</v>
      </c>
    </row>
    <row r="2655" spans="1:5" x14ac:dyDescent="0.2">
      <c r="A2655" s="228" t="s">
        <v>2856</v>
      </c>
      <c r="B2655" s="298">
        <v>85.914890057999997</v>
      </c>
      <c r="E2655" s="280">
        <v>39</v>
      </c>
    </row>
    <row r="2656" spans="1:5" x14ac:dyDescent="0.2">
      <c r="A2656" s="228" t="s">
        <v>2857</v>
      </c>
      <c r="B2656" s="298">
        <v>86.910880161999998</v>
      </c>
      <c r="C2656" s="280">
        <v>3.35</v>
      </c>
      <c r="D2656" s="280" t="s">
        <v>192</v>
      </c>
      <c r="E2656" s="280">
        <v>39</v>
      </c>
    </row>
    <row r="2657" spans="1:5" x14ac:dyDescent="0.2">
      <c r="A2657" s="228" t="s">
        <v>2858</v>
      </c>
      <c r="B2657" s="298">
        <v>87.909505683999996</v>
      </c>
      <c r="C2657" s="280">
        <v>106.6</v>
      </c>
      <c r="D2657" s="280" t="s">
        <v>192</v>
      </c>
      <c r="E2657" s="280">
        <v>39</v>
      </c>
    </row>
    <row r="2658" spans="1:5" x14ac:dyDescent="0.2">
      <c r="A2658" s="228" t="s">
        <v>2859</v>
      </c>
      <c r="B2658" s="298">
        <v>88.905848516999995</v>
      </c>
      <c r="C2658" s="280">
        <v>0</v>
      </c>
      <c r="E2658" s="280">
        <v>39</v>
      </c>
    </row>
    <row r="2659" spans="1:5" x14ac:dyDescent="0.2">
      <c r="A2659" s="228" t="s">
        <v>2860</v>
      </c>
      <c r="B2659" s="298">
        <v>89.907152057000005</v>
      </c>
      <c r="C2659" s="280">
        <v>2.67</v>
      </c>
      <c r="D2659" s="280" t="s">
        <v>192</v>
      </c>
      <c r="E2659" s="280">
        <v>39</v>
      </c>
    </row>
    <row r="2660" spans="1:5" x14ac:dyDescent="0.2">
      <c r="A2660" s="228" t="s">
        <v>2861</v>
      </c>
      <c r="B2660" s="298">
        <v>90.907301003000001</v>
      </c>
      <c r="C2660" s="280">
        <v>58.5</v>
      </c>
      <c r="D2660" s="280" t="s">
        <v>192</v>
      </c>
      <c r="E2660" s="280">
        <v>39</v>
      </c>
    </row>
    <row r="2661" spans="1:5" x14ac:dyDescent="0.2">
      <c r="A2661" s="228" t="s">
        <v>2862</v>
      </c>
      <c r="B2661" s="298">
        <v>91.908930503999997</v>
      </c>
      <c r="C2661" s="280">
        <v>3.54</v>
      </c>
      <c r="D2661" s="280" t="s">
        <v>199</v>
      </c>
      <c r="E2661" s="280">
        <v>39</v>
      </c>
    </row>
    <row r="2662" spans="1:5" x14ac:dyDescent="0.2">
      <c r="A2662" s="228" t="s">
        <v>2863</v>
      </c>
      <c r="B2662" s="298">
        <v>92.909559301000002</v>
      </c>
      <c r="E2662" s="280">
        <v>39</v>
      </c>
    </row>
    <row r="2663" spans="1:5" x14ac:dyDescent="0.2">
      <c r="A2663" s="228" t="s">
        <v>2864</v>
      </c>
      <c r="B2663" s="298">
        <v>93.911595466999998</v>
      </c>
      <c r="E2663" s="280">
        <v>39</v>
      </c>
    </row>
    <row r="2664" spans="1:5" x14ac:dyDescent="0.2">
      <c r="A2664" s="228" t="s">
        <v>2865</v>
      </c>
      <c r="B2664" s="298">
        <v>94.912786206000007</v>
      </c>
      <c r="E2664" s="280">
        <v>39</v>
      </c>
    </row>
    <row r="2665" spans="1:5" x14ac:dyDescent="0.2">
      <c r="A2665" s="228" t="s">
        <v>2866</v>
      </c>
      <c r="B2665" s="298">
        <v>95.915882831000005</v>
      </c>
      <c r="E2665" s="280">
        <v>39</v>
      </c>
    </row>
    <row r="2666" spans="1:5" x14ac:dyDescent="0.2">
      <c r="A2666" s="228" t="s">
        <v>2867</v>
      </c>
      <c r="B2666" s="298">
        <v>96.918129375999996</v>
      </c>
      <c r="E2666" s="280">
        <v>39</v>
      </c>
    </row>
    <row r="2667" spans="1:5" x14ac:dyDescent="0.2">
      <c r="A2667" s="228" t="s">
        <v>2868</v>
      </c>
      <c r="B2667" s="298">
        <v>97.922236932999994</v>
      </c>
      <c r="E2667" s="280">
        <v>39</v>
      </c>
    </row>
    <row r="2668" spans="1:5" x14ac:dyDescent="0.2">
      <c r="A2668" s="228" t="s">
        <v>2869</v>
      </c>
      <c r="B2668" s="298">
        <v>98.924632845000005</v>
      </c>
      <c r="E2668" s="280">
        <v>39</v>
      </c>
    </row>
    <row r="2669" spans="1:5" x14ac:dyDescent="0.2">
      <c r="A2669" s="287" t="s">
        <v>2870</v>
      </c>
      <c r="B2669" s="299">
        <v>173.04</v>
      </c>
      <c r="C2669" s="288">
        <v>0</v>
      </c>
      <c r="D2669" s="288">
        <v>0</v>
      </c>
      <c r="E2669" s="288">
        <v>70</v>
      </c>
    </row>
    <row r="2670" spans="1:5" x14ac:dyDescent="0.2">
      <c r="A2670" s="228" t="s">
        <v>2871</v>
      </c>
      <c r="B2670" s="298">
        <v>147.96726000000001</v>
      </c>
      <c r="E2670" s="280">
        <v>70</v>
      </c>
    </row>
    <row r="2671" spans="1:5" x14ac:dyDescent="0.2">
      <c r="A2671" s="228" t="s">
        <v>2872</v>
      </c>
      <c r="B2671" s="298">
        <v>148.96384</v>
      </c>
      <c r="E2671" s="280">
        <v>70</v>
      </c>
    </row>
    <row r="2672" spans="1:5" x14ac:dyDescent="0.2">
      <c r="A2672" s="228" t="s">
        <v>2873</v>
      </c>
      <c r="B2672" s="298">
        <v>149.95812000000001</v>
      </c>
      <c r="E2672" s="280">
        <v>70</v>
      </c>
    </row>
    <row r="2673" spans="1:5" x14ac:dyDescent="0.2">
      <c r="A2673" s="228" t="s">
        <v>2874</v>
      </c>
      <c r="B2673" s="298">
        <v>150.95525000000001</v>
      </c>
      <c r="E2673" s="280">
        <v>70</v>
      </c>
    </row>
    <row r="2674" spans="1:5" x14ac:dyDescent="0.2">
      <c r="A2674" s="228" t="s">
        <v>2875</v>
      </c>
      <c r="B2674" s="298">
        <v>151.95016699999999</v>
      </c>
      <c r="E2674" s="280">
        <v>70</v>
      </c>
    </row>
    <row r="2675" spans="1:5" x14ac:dyDescent="0.2">
      <c r="A2675" s="228" t="s">
        <v>2876</v>
      </c>
      <c r="B2675" s="298">
        <v>152.94920999999999</v>
      </c>
      <c r="E2675" s="280">
        <v>70</v>
      </c>
    </row>
    <row r="2676" spans="1:5" x14ac:dyDescent="0.2">
      <c r="A2676" s="228" t="s">
        <v>2877</v>
      </c>
      <c r="B2676" s="298">
        <v>153.94624400000001</v>
      </c>
      <c r="E2676" s="280">
        <v>70</v>
      </c>
    </row>
    <row r="2677" spans="1:5" x14ac:dyDescent="0.2">
      <c r="A2677" s="228" t="s">
        <v>2878</v>
      </c>
      <c r="B2677" s="298">
        <v>154.94562199999999</v>
      </c>
      <c r="E2677" s="280">
        <v>70</v>
      </c>
    </row>
    <row r="2678" spans="1:5" x14ac:dyDescent="0.2">
      <c r="A2678" s="228" t="s">
        <v>2879</v>
      </c>
      <c r="B2678" s="298">
        <v>155.94276681400001</v>
      </c>
      <c r="E2678" s="280">
        <v>70</v>
      </c>
    </row>
    <row r="2679" spans="1:5" x14ac:dyDescent="0.2">
      <c r="A2679" s="228" t="s">
        <v>2880</v>
      </c>
      <c r="B2679" s="298">
        <v>156.942659988</v>
      </c>
      <c r="E2679" s="280">
        <v>70</v>
      </c>
    </row>
    <row r="2680" spans="1:5" x14ac:dyDescent="0.2">
      <c r="A2680" s="228" t="s">
        <v>2881</v>
      </c>
      <c r="B2680" s="298">
        <v>157.939858996</v>
      </c>
      <c r="E2680" s="280">
        <v>70</v>
      </c>
    </row>
    <row r="2681" spans="1:5" x14ac:dyDescent="0.2">
      <c r="A2681" s="228" t="s">
        <v>2882</v>
      </c>
      <c r="B2681" s="298">
        <v>158.94023511399999</v>
      </c>
      <c r="E2681" s="280">
        <v>70</v>
      </c>
    </row>
    <row r="2682" spans="1:5" x14ac:dyDescent="0.2">
      <c r="A2682" s="228" t="s">
        <v>2883</v>
      </c>
      <c r="B2682" s="298">
        <v>159.93755999999999</v>
      </c>
      <c r="E2682" s="280">
        <v>70</v>
      </c>
    </row>
    <row r="2683" spans="1:5" x14ac:dyDescent="0.2">
      <c r="A2683" s="228" t="s">
        <v>2884</v>
      </c>
      <c r="B2683" s="298">
        <v>160.93785299999999</v>
      </c>
      <c r="E2683" s="280">
        <v>70</v>
      </c>
    </row>
    <row r="2684" spans="1:5" x14ac:dyDescent="0.2">
      <c r="A2684" s="228" t="s">
        <v>2885</v>
      </c>
      <c r="B2684" s="298">
        <v>161.93575000000001</v>
      </c>
      <c r="E2684" s="280">
        <v>70</v>
      </c>
    </row>
    <row r="2685" spans="1:5" x14ac:dyDescent="0.2">
      <c r="A2685" s="228" t="s">
        <v>2886</v>
      </c>
      <c r="B2685" s="298">
        <v>162.936265631</v>
      </c>
      <c r="E2685" s="280">
        <v>70</v>
      </c>
    </row>
    <row r="2686" spans="1:5" x14ac:dyDescent="0.2">
      <c r="A2686" s="228" t="s">
        <v>2887</v>
      </c>
      <c r="B2686" s="298">
        <v>163.93451999999999</v>
      </c>
      <c r="E2686" s="280">
        <v>70</v>
      </c>
    </row>
    <row r="2687" spans="1:5" x14ac:dyDescent="0.2">
      <c r="A2687" s="228" t="s">
        <v>2888</v>
      </c>
      <c r="B2687" s="298">
        <v>164.93539781000001</v>
      </c>
      <c r="E2687" s="280">
        <v>70</v>
      </c>
    </row>
    <row r="2688" spans="1:5" x14ac:dyDescent="0.2">
      <c r="A2688" s="228" t="s">
        <v>2889</v>
      </c>
      <c r="B2688" s="298">
        <v>165.933879894</v>
      </c>
      <c r="E2688" s="280">
        <v>70</v>
      </c>
    </row>
    <row r="2689" spans="1:5" x14ac:dyDescent="0.2">
      <c r="A2689" s="228" t="s">
        <v>2890</v>
      </c>
      <c r="B2689" s="298">
        <v>166.934947147</v>
      </c>
      <c r="E2689" s="280">
        <v>70</v>
      </c>
    </row>
    <row r="2690" spans="1:5" x14ac:dyDescent="0.2">
      <c r="A2690" s="228" t="s">
        <v>2891</v>
      </c>
      <c r="B2690" s="298">
        <v>167.933894735</v>
      </c>
      <c r="E2690" s="280">
        <v>70</v>
      </c>
    </row>
    <row r="2691" spans="1:5" x14ac:dyDescent="0.2">
      <c r="A2691" s="228" t="s">
        <v>2892</v>
      </c>
      <c r="B2691" s="298">
        <v>168.935187391</v>
      </c>
      <c r="E2691" s="280">
        <v>70</v>
      </c>
    </row>
    <row r="2692" spans="1:5" x14ac:dyDescent="0.2">
      <c r="A2692" s="228" t="s">
        <v>2893</v>
      </c>
      <c r="B2692" s="298">
        <v>169.934758921</v>
      </c>
      <c r="E2692" s="280">
        <v>70</v>
      </c>
    </row>
    <row r="2693" spans="1:5" x14ac:dyDescent="0.2">
      <c r="A2693" s="228" t="s">
        <v>2894</v>
      </c>
      <c r="B2693" s="298">
        <v>170.93632256699999</v>
      </c>
      <c r="E2693" s="280">
        <v>70</v>
      </c>
    </row>
    <row r="2694" spans="1:5" x14ac:dyDescent="0.2">
      <c r="A2694" s="228" t="s">
        <v>2895</v>
      </c>
      <c r="B2694" s="298">
        <v>171.93637796600001</v>
      </c>
      <c r="E2694" s="280">
        <v>70</v>
      </c>
    </row>
    <row r="2695" spans="1:5" x14ac:dyDescent="0.2">
      <c r="A2695" s="228" t="s">
        <v>2896</v>
      </c>
      <c r="B2695" s="298">
        <v>172.93820702400001</v>
      </c>
      <c r="E2695" s="280">
        <v>70</v>
      </c>
    </row>
    <row r="2696" spans="1:5" x14ac:dyDescent="0.2">
      <c r="A2696" s="228" t="s">
        <v>2897</v>
      </c>
      <c r="B2696" s="298">
        <v>173.938858369</v>
      </c>
      <c r="E2696" s="280">
        <v>70</v>
      </c>
    </row>
    <row r="2697" spans="1:5" x14ac:dyDescent="0.2">
      <c r="A2697" s="228" t="s">
        <v>2898</v>
      </c>
      <c r="B2697" s="298">
        <v>174.94127276200001</v>
      </c>
      <c r="E2697" s="280">
        <v>70</v>
      </c>
    </row>
    <row r="2698" spans="1:5" x14ac:dyDescent="0.2">
      <c r="A2698" s="228" t="s">
        <v>2899</v>
      </c>
      <c r="B2698" s="298">
        <v>175.94256866699999</v>
      </c>
      <c r="E2698" s="280">
        <v>70</v>
      </c>
    </row>
    <row r="2699" spans="1:5" x14ac:dyDescent="0.2">
      <c r="A2699" s="228" t="s">
        <v>2900</v>
      </c>
      <c r="B2699" s="298">
        <v>176.94525738300001</v>
      </c>
      <c r="E2699" s="280">
        <v>70</v>
      </c>
    </row>
    <row r="2700" spans="1:5" x14ac:dyDescent="0.2">
      <c r="A2700" s="228" t="s">
        <v>2901</v>
      </c>
      <c r="B2700" s="298">
        <v>177.946643653</v>
      </c>
      <c r="E2700" s="280">
        <v>70</v>
      </c>
    </row>
    <row r="2701" spans="1:5" x14ac:dyDescent="0.2">
      <c r="A2701" s="228" t="s">
        <v>2902</v>
      </c>
      <c r="B2701" s="298">
        <v>178.94985</v>
      </c>
      <c r="E2701" s="280">
        <v>70</v>
      </c>
    </row>
    <row r="2702" spans="1:5" x14ac:dyDescent="0.2">
      <c r="A2702" s="287" t="s">
        <v>2903</v>
      </c>
      <c r="B2702" s="299">
        <v>65.38</v>
      </c>
      <c r="C2702" s="288">
        <v>0</v>
      </c>
      <c r="D2702" s="288">
        <v>0</v>
      </c>
      <c r="E2702" s="288">
        <v>30</v>
      </c>
    </row>
    <row r="2703" spans="1:5" x14ac:dyDescent="0.2">
      <c r="A2703" s="228" t="s">
        <v>2904</v>
      </c>
      <c r="B2703" s="298">
        <v>53.99295</v>
      </c>
      <c r="E2703" s="280">
        <v>30</v>
      </c>
    </row>
    <row r="2704" spans="1:5" x14ac:dyDescent="0.2">
      <c r="A2704" s="228" t="s">
        <v>2905</v>
      </c>
      <c r="B2704" s="298">
        <v>54.983980000000003</v>
      </c>
      <c r="E2704" s="280">
        <v>30</v>
      </c>
    </row>
    <row r="2705" spans="1:5" x14ac:dyDescent="0.2">
      <c r="A2705" s="228" t="s">
        <v>2906</v>
      </c>
      <c r="B2705" s="298">
        <v>55.972380000000001</v>
      </c>
      <c r="E2705" s="280">
        <v>30</v>
      </c>
    </row>
    <row r="2706" spans="1:5" x14ac:dyDescent="0.2">
      <c r="A2706" s="228" t="s">
        <v>2907</v>
      </c>
      <c r="B2706" s="298">
        <v>56.964910000000003</v>
      </c>
      <c r="E2706" s="280">
        <v>30</v>
      </c>
    </row>
    <row r="2707" spans="1:5" x14ac:dyDescent="0.2">
      <c r="A2707" s="228" t="s">
        <v>2908</v>
      </c>
      <c r="B2707" s="298">
        <v>57.954596195999997</v>
      </c>
      <c r="E2707" s="280">
        <v>30</v>
      </c>
    </row>
    <row r="2708" spans="1:5" x14ac:dyDescent="0.2">
      <c r="A2708" s="228" t="s">
        <v>2909</v>
      </c>
      <c r="B2708" s="298">
        <v>58.949266805999997</v>
      </c>
      <c r="E2708" s="280">
        <v>30</v>
      </c>
    </row>
    <row r="2709" spans="1:5" x14ac:dyDescent="0.2">
      <c r="A2709" s="228" t="s">
        <v>2910</v>
      </c>
      <c r="B2709" s="298">
        <v>59.941831763000003</v>
      </c>
      <c r="E2709" s="280">
        <v>30</v>
      </c>
    </row>
    <row r="2710" spans="1:5" x14ac:dyDescent="0.2">
      <c r="A2710" s="228" t="s">
        <v>2911</v>
      </c>
      <c r="B2710" s="298">
        <v>60.939513445999999</v>
      </c>
      <c r="E2710" s="280">
        <v>30</v>
      </c>
    </row>
    <row r="2711" spans="1:5" x14ac:dyDescent="0.2">
      <c r="A2711" s="228" t="s">
        <v>2912</v>
      </c>
      <c r="B2711" s="298">
        <v>61.934333672000001</v>
      </c>
      <c r="E2711" s="280">
        <v>30</v>
      </c>
    </row>
    <row r="2712" spans="1:5" x14ac:dyDescent="0.2">
      <c r="A2712" s="228" t="s">
        <v>2913</v>
      </c>
      <c r="B2712" s="298">
        <v>62.933215138000001</v>
      </c>
      <c r="E2712" s="280">
        <v>30</v>
      </c>
    </row>
    <row r="2713" spans="1:5" x14ac:dyDescent="0.2">
      <c r="A2713" s="228" t="s">
        <v>2914</v>
      </c>
      <c r="B2713" s="298">
        <v>63.929146117000002</v>
      </c>
      <c r="C2713" s="280">
        <v>0</v>
      </c>
      <c r="E2713" s="280">
        <v>30</v>
      </c>
    </row>
    <row r="2714" spans="1:5" x14ac:dyDescent="0.2">
      <c r="A2714" s="228" t="s">
        <v>2915</v>
      </c>
      <c r="B2714" s="298">
        <v>64.929244578999999</v>
      </c>
      <c r="C2714" s="280">
        <v>243.8</v>
      </c>
      <c r="D2714" s="280" t="s">
        <v>192</v>
      </c>
      <c r="E2714" s="280">
        <v>30</v>
      </c>
    </row>
    <row r="2715" spans="1:5" x14ac:dyDescent="0.2">
      <c r="A2715" s="228" t="s">
        <v>2916</v>
      </c>
      <c r="B2715" s="298">
        <v>65.926036425999996</v>
      </c>
      <c r="C2715" s="280">
        <v>0</v>
      </c>
      <c r="E2715" s="280">
        <v>30</v>
      </c>
    </row>
    <row r="2716" spans="1:5" x14ac:dyDescent="0.2">
      <c r="A2716" s="228" t="s">
        <v>2917</v>
      </c>
      <c r="B2716" s="298">
        <v>66.927130547999994</v>
      </c>
      <c r="C2716" s="280">
        <v>0</v>
      </c>
      <c r="E2716" s="280">
        <v>30</v>
      </c>
    </row>
    <row r="2717" spans="1:5" x14ac:dyDescent="0.2">
      <c r="A2717" s="228" t="s">
        <v>2918</v>
      </c>
      <c r="B2717" s="298">
        <v>67.924847256999996</v>
      </c>
      <c r="E2717" s="280">
        <v>30</v>
      </c>
    </row>
    <row r="2718" spans="1:5" x14ac:dyDescent="0.2">
      <c r="A2718" s="228" t="s">
        <v>2919</v>
      </c>
      <c r="B2718" s="298">
        <v>68.926553229999996</v>
      </c>
      <c r="E2718" s="280">
        <v>30</v>
      </c>
    </row>
    <row r="2719" spans="1:5" x14ac:dyDescent="0.2">
      <c r="A2719" s="228" t="s">
        <v>2920</v>
      </c>
      <c r="B2719" s="298">
        <v>69.925324618000005</v>
      </c>
      <c r="E2719" s="280">
        <v>30</v>
      </c>
    </row>
    <row r="2720" spans="1:5" x14ac:dyDescent="0.2">
      <c r="A2720" s="228" t="s">
        <v>2921</v>
      </c>
      <c r="B2720" s="298">
        <v>70.927726942999996</v>
      </c>
      <c r="E2720" s="280">
        <v>30</v>
      </c>
    </row>
    <row r="2721" spans="1:5" x14ac:dyDescent="0.2">
      <c r="A2721" s="228" t="s">
        <v>2922</v>
      </c>
      <c r="B2721" s="298">
        <v>71.926863462</v>
      </c>
      <c r="E2721" s="280">
        <v>30</v>
      </c>
    </row>
    <row r="2722" spans="1:5" x14ac:dyDescent="0.2">
      <c r="A2722" s="228" t="s">
        <v>2923</v>
      </c>
      <c r="B2722" s="298">
        <v>72.929779620999994</v>
      </c>
      <c r="E2722" s="280">
        <v>30</v>
      </c>
    </row>
    <row r="2723" spans="1:5" x14ac:dyDescent="0.2">
      <c r="A2723" s="228" t="s">
        <v>2924</v>
      </c>
      <c r="B2723" s="298">
        <v>73.929458413000006</v>
      </c>
      <c r="E2723" s="280">
        <v>30</v>
      </c>
    </row>
    <row r="2724" spans="1:5" x14ac:dyDescent="0.2">
      <c r="A2724" s="228" t="s">
        <v>2925</v>
      </c>
      <c r="B2724" s="298">
        <v>74.932937531999997</v>
      </c>
      <c r="E2724" s="280">
        <v>30</v>
      </c>
    </row>
    <row r="2725" spans="1:5" x14ac:dyDescent="0.2">
      <c r="A2725" s="228" t="s">
        <v>2926</v>
      </c>
      <c r="B2725" s="298">
        <v>75.933394359000005</v>
      </c>
      <c r="E2725" s="280">
        <v>30</v>
      </c>
    </row>
    <row r="2726" spans="1:5" x14ac:dyDescent="0.2">
      <c r="A2726" s="228" t="s">
        <v>2927</v>
      </c>
      <c r="B2726" s="298">
        <v>76.937086008999998</v>
      </c>
      <c r="E2726" s="280">
        <v>30</v>
      </c>
    </row>
    <row r="2727" spans="1:5" x14ac:dyDescent="0.2">
      <c r="A2727" s="228" t="s">
        <v>2928</v>
      </c>
      <c r="B2727" s="298">
        <v>77.938569728999994</v>
      </c>
      <c r="E2727" s="280">
        <v>30</v>
      </c>
    </row>
    <row r="2728" spans="1:5" x14ac:dyDescent="0.2">
      <c r="A2728" s="228" t="s">
        <v>2929</v>
      </c>
      <c r="B2728" s="298">
        <v>78.942674999999994</v>
      </c>
      <c r="E2728" s="280">
        <v>30</v>
      </c>
    </row>
    <row r="2729" spans="1:5" x14ac:dyDescent="0.2">
      <c r="A2729" s="228" t="s">
        <v>2930</v>
      </c>
      <c r="B2729" s="298">
        <v>79.944414981999998</v>
      </c>
      <c r="E2729" s="280">
        <v>30</v>
      </c>
    </row>
    <row r="2730" spans="1:5" x14ac:dyDescent="0.2">
      <c r="A2730" s="228" t="s">
        <v>2931</v>
      </c>
      <c r="B2730" s="298">
        <v>80.950479999999999</v>
      </c>
      <c r="E2730" s="280">
        <v>30</v>
      </c>
    </row>
    <row r="2731" spans="1:5" x14ac:dyDescent="0.2">
      <c r="A2731" s="228" t="s">
        <v>2932</v>
      </c>
      <c r="B2731" s="298">
        <v>81.954840000000004</v>
      </c>
      <c r="E2731" s="280">
        <v>30</v>
      </c>
    </row>
    <row r="2732" spans="1:5" x14ac:dyDescent="0.2">
      <c r="A2732" s="287" t="s">
        <v>3181</v>
      </c>
      <c r="B2732" s="299"/>
      <c r="C2732" s="288"/>
      <c r="D2732" s="288"/>
      <c r="E2732" s="288">
        <v>40</v>
      </c>
    </row>
    <row r="2733" spans="1:5" x14ac:dyDescent="0.2">
      <c r="A2733" s="228" t="s">
        <v>2933</v>
      </c>
      <c r="B2733" s="298">
        <v>99.917761041999995</v>
      </c>
      <c r="E2733" s="280">
        <v>40</v>
      </c>
    </row>
    <row r="2734" spans="1:5" x14ac:dyDescent="0.2">
      <c r="A2734" s="228" t="s">
        <v>2934</v>
      </c>
      <c r="B2734" s="298">
        <v>100.92113929600001</v>
      </c>
      <c r="E2734" s="280">
        <v>40</v>
      </c>
    </row>
    <row r="2735" spans="1:5" x14ac:dyDescent="0.2">
      <c r="A2735" s="228" t="s">
        <v>2935</v>
      </c>
      <c r="B2735" s="298">
        <v>101.922980427</v>
      </c>
      <c r="E2735" s="280">
        <v>40</v>
      </c>
    </row>
    <row r="2736" spans="1:5" x14ac:dyDescent="0.2">
      <c r="A2736" s="228" t="s">
        <v>2936</v>
      </c>
      <c r="B2736" s="298">
        <v>102.926596422</v>
      </c>
      <c r="E2736" s="280">
        <v>40</v>
      </c>
    </row>
    <row r="2737" spans="1:5" x14ac:dyDescent="0.2">
      <c r="A2737" s="228" t="s">
        <v>2937</v>
      </c>
      <c r="B2737" s="298">
        <v>103.92878</v>
      </c>
      <c r="E2737" s="280">
        <v>40</v>
      </c>
    </row>
    <row r="2738" spans="1:5" x14ac:dyDescent="0.2">
      <c r="A2738" s="228" t="s">
        <v>2938</v>
      </c>
      <c r="B2738" s="298">
        <v>104.93304999999999</v>
      </c>
      <c r="E2738" s="280">
        <v>40</v>
      </c>
    </row>
    <row r="2739" spans="1:5" x14ac:dyDescent="0.2">
      <c r="A2739" s="228" t="s">
        <v>2939</v>
      </c>
      <c r="B2739" s="298">
        <v>105.93539</v>
      </c>
      <c r="E2739" s="280">
        <v>40</v>
      </c>
    </row>
    <row r="2740" spans="1:5" x14ac:dyDescent="0.2">
      <c r="A2740" s="228" t="s">
        <v>2940</v>
      </c>
      <c r="B2740" s="298">
        <v>79.94059</v>
      </c>
      <c r="E2740" s="280">
        <v>40</v>
      </c>
    </row>
    <row r="2741" spans="1:5" x14ac:dyDescent="0.2">
      <c r="A2741" s="228" t="s">
        <v>2941</v>
      </c>
      <c r="B2741" s="298">
        <v>80.936818384999995</v>
      </c>
      <c r="E2741" s="280">
        <v>40</v>
      </c>
    </row>
    <row r="2742" spans="1:5" x14ac:dyDescent="0.2">
      <c r="A2742" s="228" t="s">
        <v>2942</v>
      </c>
      <c r="B2742" s="298">
        <v>81.931088603999996</v>
      </c>
      <c r="E2742" s="280">
        <v>40</v>
      </c>
    </row>
    <row r="2743" spans="1:5" x14ac:dyDescent="0.2">
      <c r="A2743" s="228" t="s">
        <v>2943</v>
      </c>
      <c r="B2743" s="298">
        <v>82.928650939999997</v>
      </c>
      <c r="E2743" s="280">
        <v>40</v>
      </c>
    </row>
    <row r="2744" spans="1:5" x14ac:dyDescent="0.2">
      <c r="A2744" s="228" t="s">
        <v>2944</v>
      </c>
      <c r="B2744" s="298">
        <v>83.923249999999996</v>
      </c>
      <c r="E2744" s="280">
        <v>40</v>
      </c>
    </row>
    <row r="2745" spans="1:5" x14ac:dyDescent="0.2">
      <c r="A2745" s="228" t="s">
        <v>2945</v>
      </c>
      <c r="B2745" s="298">
        <v>84.921467664000005</v>
      </c>
      <c r="E2745" s="280">
        <v>40</v>
      </c>
    </row>
    <row r="2746" spans="1:5" x14ac:dyDescent="0.2">
      <c r="A2746" s="228" t="s">
        <v>2946</v>
      </c>
      <c r="B2746" s="298">
        <v>85.916471383000001</v>
      </c>
      <c r="E2746" s="280">
        <v>40</v>
      </c>
    </row>
    <row r="2747" spans="1:5" x14ac:dyDescent="0.2">
      <c r="A2747" s="228" t="s">
        <v>2947</v>
      </c>
      <c r="B2747" s="298">
        <v>86.914815110999996</v>
      </c>
      <c r="E2747" s="280">
        <v>40</v>
      </c>
    </row>
    <row r="2748" spans="1:5" x14ac:dyDescent="0.2">
      <c r="A2748" s="228" t="s">
        <v>2948</v>
      </c>
      <c r="B2748" s="298">
        <v>87.910224712000002</v>
      </c>
      <c r="E2748" s="280">
        <v>40</v>
      </c>
    </row>
    <row r="2749" spans="1:5" x14ac:dyDescent="0.2">
      <c r="A2749" s="228" t="s">
        <v>2949</v>
      </c>
      <c r="B2749" s="298">
        <v>88.908889138999996</v>
      </c>
      <c r="E2749" s="280">
        <v>40</v>
      </c>
    </row>
    <row r="2750" spans="1:5" x14ac:dyDescent="0.2">
      <c r="A2750" s="228" t="s">
        <v>2950</v>
      </c>
      <c r="B2750" s="298">
        <v>89.904702212000004</v>
      </c>
      <c r="E2750" s="280">
        <v>40</v>
      </c>
    </row>
    <row r="2751" spans="1:5" x14ac:dyDescent="0.2">
      <c r="A2751" s="228" t="s">
        <v>2951</v>
      </c>
      <c r="B2751" s="298">
        <v>90.905643427000001</v>
      </c>
      <c r="E2751" s="280">
        <v>40</v>
      </c>
    </row>
    <row r="2752" spans="1:5" x14ac:dyDescent="0.2">
      <c r="A2752" s="228" t="s">
        <v>2952</v>
      </c>
      <c r="B2752" s="298">
        <v>91.905038551999994</v>
      </c>
      <c r="E2752" s="280">
        <v>40</v>
      </c>
    </row>
    <row r="2753" spans="1:5" x14ac:dyDescent="0.2">
      <c r="A2753" s="228" t="s">
        <v>2953</v>
      </c>
      <c r="B2753" s="298">
        <v>92.906474059999994</v>
      </c>
      <c r="E2753" s="280">
        <v>40</v>
      </c>
    </row>
    <row r="2754" spans="1:5" x14ac:dyDescent="0.2">
      <c r="A2754" s="228" t="s">
        <v>2954</v>
      </c>
      <c r="B2754" s="298">
        <v>93.906314406999996</v>
      </c>
      <c r="E2754" s="280">
        <v>40</v>
      </c>
    </row>
    <row r="2755" spans="1:5" x14ac:dyDescent="0.2">
      <c r="A2755" s="228" t="s">
        <v>2955</v>
      </c>
      <c r="B2755" s="298">
        <v>94.908041405000006</v>
      </c>
      <c r="E2755" s="280">
        <v>40</v>
      </c>
    </row>
    <row r="2756" spans="1:5" x14ac:dyDescent="0.2">
      <c r="A2756" s="228" t="s">
        <v>2956</v>
      </c>
      <c r="B2756" s="298">
        <v>95.908274715000005</v>
      </c>
      <c r="E2756" s="280">
        <v>40</v>
      </c>
    </row>
    <row r="2757" spans="1:5" x14ac:dyDescent="0.2">
      <c r="A2757" s="228" t="s">
        <v>2957</v>
      </c>
      <c r="B2757" s="298">
        <v>96.910949743000003</v>
      </c>
      <c r="E2757" s="280">
        <v>40</v>
      </c>
    </row>
    <row r="2758" spans="1:5" x14ac:dyDescent="0.2">
      <c r="A2758" s="228" t="s">
        <v>2958</v>
      </c>
      <c r="B2758" s="298">
        <v>97.912757280999998</v>
      </c>
      <c r="E2758" s="280">
        <v>40</v>
      </c>
    </row>
    <row r="2759" spans="1:5" x14ac:dyDescent="0.2">
      <c r="A2759" s="228" t="s">
        <v>2959</v>
      </c>
      <c r="B2759" s="298">
        <v>98.916509618999996</v>
      </c>
      <c r="E2759" s="280">
        <v>40</v>
      </c>
    </row>
    <row r="2760" spans="1:5" x14ac:dyDescent="0.2">
      <c r="B2760" s="280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Specific activity</vt:lpstr>
      <vt:lpstr>Convert to SI</vt:lpstr>
      <vt:lpstr>Convert from SI</vt:lpstr>
      <vt:lpstr>misc conversions</vt:lpstr>
      <vt:lpstr>Nuclides</vt:lpstr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Specific activity</dc:title>
  <dc:subject/>
  <dc:creator>Technical safety office</dc:creator>
  <cp:keywords/>
  <dc:description/>
  <cp:lastModifiedBy>BB King</cp:lastModifiedBy>
  <dcterms:created xsi:type="dcterms:W3CDTF">2015-11-15T00:39:45Z</dcterms:created>
  <dcterms:modified xsi:type="dcterms:W3CDTF">2015-11-24T04:41:04Z</dcterms:modified>
</cp:coreProperties>
</file>